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lb" ContentType="model/gltf.binary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Entrenamiento\__Pablo Mendaña\Mis rutinas\Entrenamiento Inteligente\"/>
    </mc:Choice>
  </mc:AlternateContent>
  <xr:revisionPtr revIDLastSave="0" documentId="13_ncr:1_{04E660BE-2B44-41C1-AE2B-04565283F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ducción" sheetId="8" r:id="rId1"/>
    <sheet name="Calculadora RM" sheetId="7" r:id="rId2"/>
    <sheet name="PROGRAMA" sheetId="1" r:id="rId3"/>
    <sheet name="Evolución volumen-intesidad" sheetId="2" r:id="rId4"/>
    <sheet name="PRS-sRPE" sheetId="15" r:id="rId5"/>
    <sheet name="Ejercicio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7" l="1"/>
  <c r="L7" i="7"/>
  <c r="M22" i="1" l="1"/>
  <c r="I10" i="7"/>
  <c r="I8" i="7"/>
  <c r="I7" i="7"/>
  <c r="E75" i="7"/>
  <c r="E6" i="7" s="1"/>
  <c r="C75" i="7"/>
  <c r="E4" i="7" s="1"/>
  <c r="D75" i="7"/>
  <c r="E5" i="7" s="1"/>
  <c r="F161" i="1" l="1"/>
  <c r="F160" i="1"/>
  <c r="K123" i="1"/>
  <c r="K154" i="1"/>
  <c r="K153" i="1"/>
  <c r="K151" i="1"/>
  <c r="K148" i="1"/>
  <c r="K147" i="1"/>
  <c r="K145" i="1"/>
  <c r="K143" i="1"/>
  <c r="K140" i="1"/>
  <c r="K139" i="1"/>
  <c r="K137" i="1"/>
  <c r="K134" i="1"/>
  <c r="K133" i="1"/>
  <c r="K130" i="1"/>
  <c r="K129" i="1"/>
  <c r="K127" i="1"/>
  <c r="K124" i="1"/>
  <c r="K121" i="1"/>
  <c r="K120" i="1"/>
  <c r="K117" i="1"/>
  <c r="K113" i="1"/>
  <c r="K109" i="1"/>
  <c r="K108" i="1"/>
  <c r="K106" i="1"/>
  <c r="K105" i="1"/>
  <c r="K100" i="1"/>
  <c r="K98" i="1"/>
  <c r="K97" i="1"/>
  <c r="K94" i="1"/>
  <c r="K93" i="1"/>
  <c r="K90" i="1"/>
  <c r="K89" i="1"/>
  <c r="K86" i="1"/>
  <c r="K80" i="1"/>
  <c r="K78" i="1"/>
  <c r="K77" i="1"/>
  <c r="K74" i="1"/>
  <c r="K73" i="1"/>
  <c r="K68" i="1"/>
  <c r="K66" i="1"/>
  <c r="K65" i="1"/>
  <c r="K62" i="1"/>
  <c r="K61" i="1"/>
  <c r="K58" i="1"/>
  <c r="K57" i="1"/>
  <c r="K54" i="1"/>
  <c r="K45" i="1"/>
  <c r="K44" i="1"/>
  <c r="K42" i="1"/>
  <c r="K41" i="1"/>
  <c r="K33" i="1"/>
  <c r="K32" i="1"/>
  <c r="K29" i="1"/>
  <c r="K30" i="1"/>
  <c r="K26" i="1"/>
  <c r="K21" i="1"/>
  <c r="K19" i="1"/>
  <c r="K18" i="1"/>
  <c r="K152" i="1"/>
  <c r="K146" i="1"/>
  <c r="K135" i="1"/>
  <c r="K125" i="1"/>
  <c r="K116" i="1"/>
  <c r="K107" i="1"/>
  <c r="K96" i="1"/>
  <c r="K85" i="1"/>
  <c r="K76" i="1"/>
  <c r="K64" i="1"/>
  <c r="K53" i="1"/>
  <c r="K48" i="1"/>
  <c r="K36" i="1"/>
  <c r="K20" i="1"/>
  <c r="K150" i="1"/>
  <c r="K144" i="1"/>
  <c r="K136" i="1"/>
  <c r="K126" i="1"/>
  <c r="K119" i="1"/>
  <c r="K115" i="1"/>
  <c r="K111" i="1"/>
  <c r="K104" i="1"/>
  <c r="K101" i="1"/>
  <c r="K92" i="1"/>
  <c r="K88" i="1"/>
  <c r="K84" i="1"/>
  <c r="K81" i="1"/>
  <c r="K72" i="1"/>
  <c r="K69" i="1"/>
  <c r="K60" i="1"/>
  <c r="K56" i="1"/>
  <c r="K52" i="1"/>
  <c r="K49" i="1"/>
  <c r="K40" i="1"/>
  <c r="K37" i="1"/>
  <c r="K28" i="1"/>
  <c r="K24" i="1"/>
  <c r="K17" i="1"/>
  <c r="K149" i="1"/>
  <c r="K142" i="1"/>
  <c r="K138" i="1"/>
  <c r="K132" i="1"/>
  <c r="K128" i="1"/>
  <c r="K122" i="1"/>
  <c r="K118" i="1"/>
  <c r="K114" i="1"/>
  <c r="K110" i="1"/>
  <c r="K103" i="1"/>
  <c r="K99" i="1"/>
  <c r="K95" i="1"/>
  <c r="K91" i="1"/>
  <c r="K87" i="1"/>
  <c r="K83" i="1"/>
  <c r="K79" i="1"/>
  <c r="K75" i="1"/>
  <c r="K71" i="1"/>
  <c r="K67" i="1"/>
  <c r="K63" i="1"/>
  <c r="K59" i="1"/>
  <c r="K55" i="1"/>
  <c r="K51" i="1"/>
  <c r="K47" i="1"/>
  <c r="K43" i="1"/>
  <c r="K39" i="1"/>
  <c r="K35" i="1"/>
  <c r="K16" i="1"/>
  <c r="K23" i="1"/>
  <c r="K31" i="1"/>
  <c r="K27" i="1"/>
  <c r="F131" i="1" l="1"/>
  <c r="F141" i="1"/>
  <c r="E9" i="7"/>
  <c r="G9" i="7" s="1"/>
  <c r="H9" i="7" s="1"/>
  <c r="I9" i="7" s="1"/>
  <c r="Q7" i="1" l="1"/>
  <c r="L66" i="1" s="1"/>
  <c r="F167" i="1" l="1"/>
  <c r="F163" i="1"/>
  <c r="F154" i="1"/>
  <c r="F148" i="1"/>
  <c r="F133" i="1"/>
  <c r="F123" i="1"/>
  <c r="F109" i="1"/>
  <c r="F98" i="1"/>
  <c r="F78" i="1"/>
  <c r="F66" i="1"/>
  <c r="F46" i="1"/>
  <c r="F34" i="1"/>
  <c r="P7" i="1"/>
  <c r="F162" i="1"/>
  <c r="F153" i="1"/>
  <c r="F147" i="1"/>
  <c r="F140" i="1"/>
  <c r="F130" i="1"/>
  <c r="F117" i="1"/>
  <c r="F108" i="1"/>
  <c r="F97" i="1"/>
  <c r="F86" i="1"/>
  <c r="F77" i="1"/>
  <c r="F65" i="1"/>
  <c r="F54" i="1"/>
  <c r="F45" i="1"/>
  <c r="F33" i="1"/>
  <c r="P8" i="1"/>
  <c r="F166" i="1"/>
  <c r="F152" i="1"/>
  <c r="F146" i="1"/>
  <c r="F135" i="1"/>
  <c r="F125" i="1"/>
  <c r="F116" i="1"/>
  <c r="F107" i="1"/>
  <c r="F96" i="1"/>
  <c r="F85" i="1"/>
  <c r="F76" i="1"/>
  <c r="F64" i="1"/>
  <c r="F53" i="1"/>
  <c r="F48" i="1"/>
  <c r="F36" i="1"/>
  <c r="P4" i="1"/>
  <c r="F143" i="1"/>
  <c r="F139" i="1"/>
  <c r="F134" i="1"/>
  <c r="F129" i="1"/>
  <c r="F124" i="1"/>
  <c r="F121" i="1"/>
  <c r="F113" i="1"/>
  <c r="F106" i="1"/>
  <c r="F100" i="1"/>
  <c r="F94" i="1"/>
  <c r="F90" i="1"/>
  <c r="F80" i="1"/>
  <c r="F74" i="1"/>
  <c r="F68" i="1"/>
  <c r="F62" i="1"/>
  <c r="F58" i="1"/>
  <c r="F44" i="1"/>
  <c r="F42" i="1"/>
  <c r="F32" i="1"/>
  <c r="F30" i="1"/>
  <c r="F26" i="1"/>
  <c r="P9" i="1"/>
  <c r="F151" i="1"/>
  <c r="F145" i="1"/>
  <c r="F137" i="1"/>
  <c r="F127" i="1"/>
  <c r="F120" i="1"/>
  <c r="F105" i="1"/>
  <c r="F93" i="1"/>
  <c r="F89" i="1"/>
  <c r="F73" i="1"/>
  <c r="F61" i="1"/>
  <c r="F57" i="1"/>
  <c r="F41" i="1"/>
  <c r="F29" i="1"/>
  <c r="P6" i="1"/>
  <c r="F165" i="1"/>
  <c r="F159" i="1"/>
  <c r="F150" i="1"/>
  <c r="F144" i="1"/>
  <c r="F136" i="1"/>
  <c r="F126" i="1"/>
  <c r="F119" i="1"/>
  <c r="F115" i="1"/>
  <c r="F111" i="1"/>
  <c r="F104" i="1"/>
  <c r="F101" i="1"/>
  <c r="F92" i="1"/>
  <c r="F88" i="1"/>
  <c r="F84" i="1"/>
  <c r="F81" i="1"/>
  <c r="F72" i="1"/>
  <c r="F69" i="1"/>
  <c r="F60" i="1"/>
  <c r="F56" i="1"/>
  <c r="F52" i="1"/>
  <c r="F49" i="1"/>
  <c r="F40" i="1"/>
  <c r="F37" i="1"/>
  <c r="F28" i="1"/>
  <c r="F24" i="1"/>
  <c r="P5" i="1"/>
  <c r="F164" i="1"/>
  <c r="F23" i="1" l="1"/>
  <c r="F55" i="1"/>
  <c r="F87" i="1"/>
  <c r="F118" i="1"/>
  <c r="F149" i="1"/>
  <c r="F27" i="1"/>
  <c r="F59" i="1"/>
  <c r="F91" i="1"/>
  <c r="F122" i="1"/>
  <c r="F158" i="1"/>
  <c r="F31" i="1"/>
  <c r="F63" i="1"/>
  <c r="F95" i="1"/>
  <c r="F35" i="1"/>
  <c r="F67" i="1"/>
  <c r="F99" i="1"/>
  <c r="F128" i="1"/>
  <c r="F71" i="1"/>
  <c r="F132" i="1"/>
  <c r="F75" i="1"/>
  <c r="P3" i="1"/>
  <c r="F47" i="1"/>
  <c r="F79" i="1"/>
  <c r="F110" i="1"/>
  <c r="F138" i="1"/>
  <c r="F51" i="1"/>
  <c r="F83" i="1"/>
  <c r="F114" i="1"/>
  <c r="F142" i="1"/>
  <c r="F39" i="1"/>
  <c r="F103" i="1"/>
  <c r="F43" i="1"/>
  <c r="M46" i="1"/>
  <c r="N46" i="1" s="1"/>
  <c r="M34" i="1"/>
  <c r="N34" i="1" s="1"/>
  <c r="N22" i="1"/>
  <c r="O46" i="1" l="1"/>
  <c r="L78" i="1" l="1"/>
  <c r="M78" i="1" s="1"/>
  <c r="N78" i="1" s="1"/>
  <c r="L154" i="1"/>
  <c r="M154" i="1" s="1"/>
  <c r="N154" i="1" s="1"/>
  <c r="M66" i="1"/>
  <c r="N66" i="1" s="1"/>
  <c r="L98" i="1"/>
  <c r="M98" i="1" s="1"/>
  <c r="N98" i="1" s="1"/>
  <c r="L163" i="1"/>
  <c r="L109" i="1"/>
  <c r="M109" i="1" s="1"/>
  <c r="N109" i="1" s="1"/>
  <c r="L133" i="1"/>
  <c r="M133" i="1" s="1"/>
  <c r="N133" i="1" s="1"/>
  <c r="L123" i="1"/>
  <c r="M123" i="1" s="1"/>
  <c r="N123" i="1" s="1"/>
  <c r="L167" i="1"/>
  <c r="L148" i="1"/>
  <c r="M148" i="1" s="1"/>
  <c r="N148" i="1" s="1"/>
  <c r="E10" i="7"/>
  <c r="F9" i="7"/>
  <c r="E8" i="7"/>
  <c r="E7" i="7"/>
  <c r="G5" i="7"/>
  <c r="H5" i="7" s="1"/>
  <c r="I5" i="7" s="1"/>
  <c r="M6" i="7"/>
  <c r="F10" i="7" l="1"/>
  <c r="G10" i="7"/>
  <c r="F4" i="7"/>
  <c r="G4" i="7"/>
  <c r="F6" i="7"/>
  <c r="G6" i="7"/>
  <c r="H6" i="7" s="1"/>
  <c r="I6" i="7" s="1"/>
  <c r="F7" i="7"/>
  <c r="G7" i="7"/>
  <c r="F8" i="7"/>
  <c r="G8" i="7"/>
  <c r="F5" i="7"/>
  <c r="Q5" i="1"/>
  <c r="O154" i="1"/>
  <c r="O109" i="1"/>
  <c r="O78" i="1"/>
  <c r="Q9" i="1"/>
  <c r="Q6" i="1"/>
  <c r="L160" i="1" s="1"/>
  <c r="Q8" i="1"/>
  <c r="Q4" i="1"/>
  <c r="L161" i="1" s="1"/>
  <c r="Q3" i="1"/>
  <c r="H4" i="7" l="1"/>
  <c r="I4" i="7" s="1"/>
  <c r="L61" i="1"/>
  <c r="M61" i="1" s="1"/>
  <c r="N61" i="1" s="1"/>
  <c r="L137" i="1"/>
  <c r="M137" i="1" s="1"/>
  <c r="N137" i="1" s="1"/>
  <c r="L120" i="1"/>
  <c r="M120" i="1" s="1"/>
  <c r="N120" i="1" s="1"/>
  <c r="L145" i="1"/>
  <c r="M145" i="1" s="1"/>
  <c r="N145" i="1" s="1"/>
  <c r="L127" i="1"/>
  <c r="M127" i="1" s="1"/>
  <c r="N127" i="1" s="1"/>
  <c r="L93" i="1"/>
  <c r="M93" i="1" s="1"/>
  <c r="N93" i="1" s="1"/>
  <c r="L41" i="1"/>
  <c r="M41" i="1" s="1"/>
  <c r="N41" i="1" s="1"/>
  <c r="L73" i="1"/>
  <c r="M73" i="1" s="1"/>
  <c r="N73" i="1" s="1"/>
  <c r="L151" i="1"/>
  <c r="M151" i="1" s="1"/>
  <c r="N151" i="1" s="1"/>
  <c r="L57" i="1"/>
  <c r="M57" i="1" s="1"/>
  <c r="N57" i="1" s="1"/>
  <c r="L29" i="1"/>
  <c r="M29" i="1" s="1"/>
  <c r="N29" i="1" s="1"/>
  <c r="L89" i="1"/>
  <c r="M89" i="1" s="1"/>
  <c r="N89" i="1" s="1"/>
  <c r="L18" i="1"/>
  <c r="M18" i="1" s="1"/>
  <c r="N18" i="1" s="1"/>
  <c r="L105" i="1"/>
  <c r="M105" i="1" s="1"/>
  <c r="N105" i="1" s="1"/>
  <c r="L147" i="1"/>
  <c r="M147" i="1" s="1"/>
  <c r="N147" i="1" s="1"/>
  <c r="L33" i="1"/>
  <c r="M33" i="1" s="1"/>
  <c r="N33" i="1" s="1"/>
  <c r="L86" i="1"/>
  <c r="M86" i="1" s="1"/>
  <c r="N86" i="1" s="1"/>
  <c r="L77" i="1"/>
  <c r="M77" i="1" s="1"/>
  <c r="N77" i="1" s="1"/>
  <c r="L153" i="1"/>
  <c r="M153" i="1" s="1"/>
  <c r="N153" i="1" s="1"/>
  <c r="L21" i="1"/>
  <c r="L162" i="1"/>
  <c r="L117" i="1"/>
  <c r="M117" i="1" s="1"/>
  <c r="N117" i="1" s="1"/>
  <c r="L108" i="1"/>
  <c r="M108" i="1" s="1"/>
  <c r="N108" i="1" s="1"/>
  <c r="L65" i="1"/>
  <c r="M65" i="1" s="1"/>
  <c r="N65" i="1" s="1"/>
  <c r="L140" i="1"/>
  <c r="M140" i="1" s="1"/>
  <c r="N140" i="1" s="1"/>
  <c r="L97" i="1"/>
  <c r="M97" i="1" s="1"/>
  <c r="N97" i="1" s="1"/>
  <c r="L45" i="1"/>
  <c r="M45" i="1" s="1"/>
  <c r="N45" i="1" s="1"/>
  <c r="L130" i="1"/>
  <c r="M130" i="1" s="1"/>
  <c r="N130" i="1" s="1"/>
  <c r="L54" i="1"/>
  <c r="M54" i="1" s="1"/>
  <c r="N54" i="1" s="1"/>
  <c r="L158" i="1"/>
  <c r="L138" i="1"/>
  <c r="M138" i="1" s="1"/>
  <c r="L95" i="1"/>
  <c r="M95" i="1" s="1"/>
  <c r="L87" i="1"/>
  <c r="M87" i="1" s="1"/>
  <c r="L43" i="1"/>
  <c r="M43" i="1" s="1"/>
  <c r="L128" i="1"/>
  <c r="M128" i="1" s="1"/>
  <c r="L103" i="1"/>
  <c r="M103" i="1" s="1"/>
  <c r="L23" i="1"/>
  <c r="M23" i="1" s="1"/>
  <c r="L118" i="1"/>
  <c r="M118" i="1" s="1"/>
  <c r="L164" i="1"/>
  <c r="L110" i="1"/>
  <c r="M110" i="1" s="1"/>
  <c r="L67" i="1"/>
  <c r="M67" i="1" s="1"/>
  <c r="L59" i="1"/>
  <c r="M59" i="1" s="1"/>
  <c r="L51" i="1"/>
  <c r="M51" i="1" s="1"/>
  <c r="L31" i="1"/>
  <c r="M31" i="1" s="1"/>
  <c r="L75" i="1"/>
  <c r="M75" i="1" s="1"/>
  <c r="L47" i="1"/>
  <c r="M47" i="1" s="1"/>
  <c r="L99" i="1"/>
  <c r="M99" i="1" s="1"/>
  <c r="L91" i="1"/>
  <c r="M91" i="1" s="1"/>
  <c r="L83" i="1"/>
  <c r="M83" i="1" s="1"/>
  <c r="L39" i="1"/>
  <c r="M39" i="1" s="1"/>
  <c r="L142" i="1"/>
  <c r="M142" i="1" s="1"/>
  <c r="N142" i="1" s="1"/>
  <c r="L149" i="1"/>
  <c r="M149" i="1" s="1"/>
  <c r="N149" i="1" s="1"/>
  <c r="L132" i="1"/>
  <c r="M132" i="1" s="1"/>
  <c r="L63" i="1"/>
  <c r="M63" i="1" s="1"/>
  <c r="L55" i="1"/>
  <c r="M55" i="1" s="1"/>
  <c r="L27" i="1"/>
  <c r="M27" i="1" s="1"/>
  <c r="L122" i="1"/>
  <c r="M122" i="1" s="1"/>
  <c r="L114" i="1"/>
  <c r="M114" i="1" s="1"/>
  <c r="L79" i="1"/>
  <c r="M79" i="1" s="1"/>
  <c r="L71" i="1"/>
  <c r="M71" i="1" s="1"/>
  <c r="L35" i="1"/>
  <c r="M35" i="1" s="1"/>
  <c r="L16" i="1"/>
  <c r="L104" i="1"/>
  <c r="M104" i="1" s="1"/>
  <c r="L69" i="1"/>
  <c r="M69" i="1" s="1"/>
  <c r="L24" i="1"/>
  <c r="M24" i="1" s="1"/>
  <c r="L165" i="1"/>
  <c r="L111" i="1"/>
  <c r="M111" i="1" s="1"/>
  <c r="L60" i="1"/>
  <c r="M60" i="1" s="1"/>
  <c r="L52" i="1"/>
  <c r="M52" i="1" s="1"/>
  <c r="L84" i="1"/>
  <c r="M84" i="1" s="1"/>
  <c r="L49" i="1"/>
  <c r="M49" i="1" s="1"/>
  <c r="L28" i="1"/>
  <c r="M28" i="1" s="1"/>
  <c r="L136" i="1"/>
  <c r="M136" i="1" s="1"/>
  <c r="N136" i="1" s="1"/>
  <c r="L119" i="1"/>
  <c r="M119" i="1" s="1"/>
  <c r="L101" i="1"/>
  <c r="M101" i="1" s="1"/>
  <c r="L144" i="1"/>
  <c r="M144" i="1" s="1"/>
  <c r="N144" i="1" s="1"/>
  <c r="L126" i="1"/>
  <c r="M126" i="1" s="1"/>
  <c r="N126" i="1" s="1"/>
  <c r="L92" i="1"/>
  <c r="M92" i="1" s="1"/>
  <c r="L40" i="1"/>
  <c r="M40" i="1" s="1"/>
  <c r="L17" i="1"/>
  <c r="M17" i="1" s="1"/>
  <c r="L150" i="1"/>
  <c r="M150" i="1" s="1"/>
  <c r="N150" i="1" s="1"/>
  <c r="L81" i="1"/>
  <c r="M81" i="1" s="1"/>
  <c r="L56" i="1"/>
  <c r="M56" i="1" s="1"/>
  <c r="L37" i="1"/>
  <c r="M37" i="1" s="1"/>
  <c r="L115" i="1"/>
  <c r="M115" i="1" s="1"/>
  <c r="L72" i="1"/>
  <c r="M72" i="1" s="1"/>
  <c r="L159" i="1"/>
  <c r="L88" i="1"/>
  <c r="M88" i="1" s="1"/>
  <c r="L129" i="1"/>
  <c r="M129" i="1" s="1"/>
  <c r="L121" i="1"/>
  <c r="M121" i="1" s="1"/>
  <c r="N121" i="1" s="1"/>
  <c r="L113" i="1"/>
  <c r="M113" i="1" s="1"/>
  <c r="L94" i="1"/>
  <c r="M94" i="1" s="1"/>
  <c r="L68" i="1"/>
  <c r="M68" i="1" s="1"/>
  <c r="L42" i="1"/>
  <c r="M42" i="1" s="1"/>
  <c r="L32" i="1"/>
  <c r="M32" i="1" s="1"/>
  <c r="L100" i="1"/>
  <c r="M100" i="1" s="1"/>
  <c r="L30" i="1"/>
  <c r="M30" i="1" s="1"/>
  <c r="L124" i="1"/>
  <c r="M124" i="1" s="1"/>
  <c r="L58" i="1"/>
  <c r="M58" i="1" s="1"/>
  <c r="N58" i="1" s="1"/>
  <c r="L90" i="1"/>
  <c r="M90" i="1" s="1"/>
  <c r="N90" i="1" s="1"/>
  <c r="L143" i="1"/>
  <c r="M143" i="1" s="1"/>
  <c r="N143" i="1" s="1"/>
  <c r="L134" i="1"/>
  <c r="M134" i="1" s="1"/>
  <c r="L74" i="1"/>
  <c r="M74" i="1" s="1"/>
  <c r="L19" i="1"/>
  <c r="M19" i="1" s="1"/>
  <c r="L106" i="1"/>
  <c r="M106" i="1" s="1"/>
  <c r="L80" i="1"/>
  <c r="M80" i="1" s="1"/>
  <c r="L139" i="1"/>
  <c r="M139" i="1" s="1"/>
  <c r="L62" i="1"/>
  <c r="M62" i="1" s="1"/>
  <c r="L44" i="1"/>
  <c r="M44" i="1" s="1"/>
  <c r="L26" i="1"/>
  <c r="M26" i="1" s="1"/>
  <c r="L166" i="1"/>
  <c r="L53" i="1"/>
  <c r="M53" i="1" s="1"/>
  <c r="N53" i="1" s="1"/>
  <c r="L146" i="1"/>
  <c r="M146" i="1" s="1"/>
  <c r="N146" i="1" s="1"/>
  <c r="L135" i="1"/>
  <c r="M135" i="1" s="1"/>
  <c r="N135" i="1" s="1"/>
  <c r="L64" i="1"/>
  <c r="M64" i="1" s="1"/>
  <c r="N64" i="1" s="1"/>
  <c r="L85" i="1"/>
  <c r="M85" i="1" s="1"/>
  <c r="N85" i="1" s="1"/>
  <c r="L76" i="1"/>
  <c r="M76" i="1" s="1"/>
  <c r="N76" i="1" s="1"/>
  <c r="L152" i="1"/>
  <c r="M152" i="1" s="1"/>
  <c r="N152" i="1" s="1"/>
  <c r="L20" i="1"/>
  <c r="M20" i="1" s="1"/>
  <c r="N20" i="1" s="1"/>
  <c r="L116" i="1"/>
  <c r="M116" i="1" s="1"/>
  <c r="N116" i="1" s="1"/>
  <c r="L125" i="1"/>
  <c r="M125" i="1" s="1"/>
  <c r="N125" i="1" s="1"/>
  <c r="L48" i="1"/>
  <c r="M48" i="1" s="1"/>
  <c r="N48" i="1" s="1"/>
  <c r="L107" i="1"/>
  <c r="M107" i="1" s="1"/>
  <c r="N107" i="1" s="1"/>
  <c r="L36" i="1"/>
  <c r="M36" i="1" s="1"/>
  <c r="N36" i="1" s="1"/>
  <c r="L96" i="1"/>
  <c r="M96" i="1" s="1"/>
  <c r="N96" i="1" s="1"/>
  <c r="M21" i="1" l="1"/>
  <c r="N21" i="1" s="1"/>
  <c r="O54" i="1" s="1"/>
  <c r="N26" i="1"/>
  <c r="N68" i="1"/>
  <c r="O153" i="1"/>
  <c r="N32" i="1"/>
  <c r="N44" i="1"/>
  <c r="N100" i="1"/>
  <c r="N113" i="1"/>
  <c r="N139" i="1"/>
  <c r="N80" i="1"/>
  <c r="N129" i="1"/>
  <c r="N24" i="1"/>
  <c r="N56" i="1"/>
  <c r="N101" i="1"/>
  <c r="N49" i="1"/>
  <c r="N88" i="1"/>
  <c r="N111" i="1"/>
  <c r="N55" i="1"/>
  <c r="O85" i="1"/>
  <c r="O151" i="1"/>
  <c r="N128" i="1"/>
  <c r="N37" i="1"/>
  <c r="N35" i="1"/>
  <c r="N67" i="1"/>
  <c r="N99" i="1"/>
  <c r="O86" i="1"/>
  <c r="O117" i="1"/>
  <c r="O57" i="1"/>
  <c r="O120" i="1"/>
  <c r="O89" i="1"/>
  <c r="O150" i="1"/>
  <c r="N81" i="1"/>
  <c r="N69" i="1"/>
  <c r="N119" i="1"/>
  <c r="O116" i="1"/>
  <c r="O53" i="1"/>
  <c r="N138" i="1"/>
  <c r="N47" i="1"/>
  <c r="N87" i="1"/>
  <c r="N79" i="1"/>
  <c r="N110" i="1"/>
  <c r="N118" i="1"/>
  <c r="O152" i="1"/>
  <c r="O143" i="1" l="1"/>
  <c r="O90" i="1"/>
  <c r="O58" i="1"/>
  <c r="O121" i="1"/>
  <c r="O56" i="1"/>
  <c r="O119" i="1"/>
  <c r="O88" i="1"/>
  <c r="O149" i="1"/>
  <c r="O87" i="1"/>
  <c r="O118" i="1"/>
  <c r="M16" i="1"/>
  <c r="N23" i="1" s="1"/>
  <c r="O55" i="1" s="1"/>
  <c r="O155" i="1" l="1"/>
  <c r="F112" i="1"/>
  <c r="F102" i="1"/>
  <c r="F82" i="1"/>
  <c r="F70" i="1"/>
  <c r="F50" i="1"/>
  <c r="F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Pablo Mendaña</author>
    <author>Pablo Mendaña</author>
  </authors>
  <commentList>
    <comment ref="H2" authorId="0" shapeId="0" xr:uid="{00000000-0006-0000-0100-000001000000}">
      <text>
        <r>
          <rPr>
            <sz val="9"/>
            <color indexed="81"/>
            <rFont val="Tahoma"/>
            <charset val="1"/>
          </rPr>
          <t>Este enfoque es estimativo y se basa únicamente en tus 1RMs de los ejercicios básicos clave, teniendo en cuenta tu peso corporal.</t>
        </r>
      </text>
    </comment>
    <comment ref="I2" authorId="0" shapeId="0" xr:uid="{00000000-0006-0000-0100-000002000000}">
      <text>
        <r>
          <rPr>
            <sz val="9"/>
            <color indexed="81"/>
            <rFont val="Tahoma"/>
            <family val="2"/>
          </rPr>
          <t>Esto es solo algo orientativo.</t>
        </r>
      </text>
    </comment>
    <comment ref="D3" authorId="1" shapeId="0" xr:uid="{66536E34-98C6-4B80-AAD5-DF89599A77F4}">
      <text>
        <r>
          <rPr>
            <sz val="9"/>
            <color indexed="81"/>
            <rFont val="Tahoma"/>
            <family val="2"/>
          </rPr>
          <t xml:space="preserve">IMPORTANTE:
- </t>
        </r>
        <r>
          <rPr>
            <b/>
            <sz val="9"/>
            <color indexed="81"/>
            <rFont val="Tahoma"/>
            <family val="2"/>
          </rPr>
          <t>Cuanto menor sea el número de repeticiones, menor será el margen de error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E3" authorId="1" shapeId="0" xr:uid="{5A7B1409-A49C-4BCC-9A45-D60A2A494D4B}">
      <text>
        <r>
          <rPr>
            <b/>
            <u/>
            <sz val="9"/>
            <color indexed="81"/>
            <rFont val="Tahoma"/>
            <family val="2"/>
          </rPr>
          <t>1RM: Repetición Máxima a 1 repetición</t>
        </r>
      </text>
    </comment>
    <comment ref="E9" authorId="1" shapeId="0" xr:uid="{FE043F6C-289E-4300-883D-4337D25B007D}">
      <text>
        <r>
          <rPr>
            <sz val="9"/>
            <color indexed="81"/>
            <rFont val="Tahoma"/>
            <charset val="1"/>
          </rPr>
          <t>Lastre 1RM sin el peso corporal</t>
        </r>
      </text>
    </comment>
    <comment ref="B12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Incrementos mínimos de peso de los que dispones. Por ejemplo: un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significa que tienes dos discos de 0,5 kg; un </t>
        </r>
        <r>
          <rPr>
            <b/>
            <sz val="9"/>
            <color indexed="81"/>
            <rFont val="Tahoma"/>
            <family val="2"/>
          </rPr>
          <t>2,5</t>
        </r>
        <r>
          <rPr>
            <sz val="9"/>
            <color indexed="81"/>
            <rFont val="Tahoma"/>
            <family val="2"/>
          </rPr>
          <t xml:space="preserve"> significa que tienes dos discos de 1,25 kg.
Cuanto menor sea el número (osea, discos más pequeños) más precisión habrá al ajustar los kg de la progresión de cargas.</t>
        </r>
      </text>
    </comment>
    <comment ref="B75" authorId="1" shapeId="0" xr:uid="{8AF17984-13A1-4B11-8ECA-8C8D70F7DC1E}">
      <text>
        <r>
          <rPr>
            <sz val="9"/>
            <color indexed="81"/>
            <rFont val="Tahoma"/>
            <family val="2"/>
          </rPr>
          <t>Si las repes son &gt;20 utiliza la fórmula genérica.
Los valores de la derecha son los RMs con dicha fórmula.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Pablo Mendaña</author>
    <author>Pablo Mendaña</author>
  </authors>
  <commentList>
    <comment ref="Q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Tahoma"/>
            <charset val="1"/>
          </rPr>
          <t xml:space="preserve"> Lastre 1RM + Peso corporal</t>
        </r>
      </text>
    </comment>
    <comment ref="G14" authorId="1" shapeId="0" xr:uid="{FBFA008A-20E3-4107-B327-995C81FA63B7}">
      <text>
        <r>
          <rPr>
            <b/>
            <u/>
            <sz val="9"/>
            <color indexed="81"/>
            <rFont val="Tahoma"/>
            <family val="2"/>
          </rPr>
          <t>Nº de Series x Nº de Repeticiones</t>
        </r>
      </text>
    </comment>
    <comment ref="J14" authorId="1" shapeId="0" xr:uid="{96F4E4F7-10D1-4CA0-AF25-D90CB2484B8F}">
      <text>
        <r>
          <rPr>
            <b/>
            <u/>
            <sz val="9"/>
            <color indexed="81"/>
            <rFont val="Tahoma"/>
            <family val="2"/>
          </rPr>
          <t>RIR: Repeticiones en recámara</t>
        </r>
        <r>
          <rPr>
            <sz val="9"/>
            <color indexed="81"/>
            <rFont val="Tahoma"/>
            <family val="2"/>
          </rPr>
          <t xml:space="preserve"> (Reps In Reserve): 
Repeticiones que quedan para llegar al fallo.
Se refiere a la primera serie. Es normal que vaya disminuyendo a medida que avanzas con las series.</t>
        </r>
      </text>
    </comment>
    <comment ref="M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Tahoma"/>
            <family val="2"/>
          </rPr>
          <t xml:space="preserve"> Nº de Series x Nº de Repeticiones x Kg</t>
        </r>
      </text>
    </comment>
    <comment ref="AA15" authorId="1" shapeId="0" xr:uid="{5AD391AF-96E5-45DD-B3BB-D9E182CC5BEF}">
      <text>
        <r>
          <rPr>
            <b/>
            <u/>
            <sz val="9"/>
            <color indexed="81"/>
            <rFont val="Tahoma"/>
            <family val="2"/>
          </rPr>
          <t>PRS: Estado de recuperación percibida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(Rate of Perceived Readiness):
Indica el estado de recuperación y la motivación </t>
        </r>
        <r>
          <rPr>
            <u/>
            <sz val="9"/>
            <color indexed="81"/>
            <rFont val="Tahoma"/>
            <family val="2"/>
          </rPr>
          <t>previa</t>
        </r>
        <r>
          <rPr>
            <sz val="9"/>
            <color indexed="81"/>
            <rFont val="Tahoma"/>
            <family val="2"/>
          </rPr>
          <t xml:space="preserve"> de cara a como crees que vas a afrontar la sesión. Se puntúa del 1 al 10. Un 1 indica cansancio extremo. Un 10 una total recuperación y un 100% de energía y ganas de entrenar.</t>
        </r>
      </text>
    </comment>
    <comment ref="AB15" authorId="1" shapeId="0" xr:uid="{066A1C91-A2BE-41DE-8907-7F78E48B9896}">
      <text>
        <r>
          <rPr>
            <b/>
            <u/>
            <sz val="9"/>
            <color indexed="81"/>
            <rFont val="Tahoma"/>
            <family val="2"/>
          </rPr>
          <t>sRPE: Índice de esfuerzo percibido de la sesión</t>
        </r>
        <r>
          <rPr>
            <sz val="9"/>
            <color indexed="81"/>
            <rFont val="Tahoma"/>
            <family val="2"/>
          </rPr>
          <t xml:space="preserve"> (Session Rate of Perceived Exertion):
Grado es esfuerzo realizado en el conjunto de la sesión de entrenamiento. Es </t>
        </r>
        <r>
          <rPr>
            <u/>
            <sz val="9"/>
            <color indexed="81"/>
            <rFont val="Tahoma"/>
            <family val="2"/>
          </rPr>
          <t>posterior</t>
        </r>
        <r>
          <rPr>
            <sz val="9"/>
            <color indexed="81"/>
            <rFont val="Tahoma"/>
            <family val="2"/>
          </rPr>
          <t xml:space="preserve"> a la misma. Se puntúa del 1 al 10, siendo un 10 el máximo esfuerzo posible y un 1 el mínimo posible.</t>
        </r>
      </text>
    </comment>
    <comment ref="J157" authorId="0" shapeId="0" xr:uid="{00000000-0006-0000-0200-000005000000}">
      <text>
        <r>
          <rPr>
            <b/>
            <u/>
            <sz val="9"/>
            <color indexed="81"/>
            <rFont val="Tahoma"/>
            <family val="2"/>
          </rPr>
          <t>RPE: Índice de esfuerzo percibido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(Rate of Perceived Exertion):
Grado es esfuerzo realizado. Se puntúa del 1 al 10, siendo el 10 el máximo esfuerzo posible, osea, que sería imposible realizar otra repetición.</t>
        </r>
      </text>
    </comment>
    <comment ref="E164" authorId="1" shapeId="0" xr:uid="{A422C8B2-0C5D-4D02-9698-3817D4F3084D}">
      <text>
        <r>
          <rPr>
            <sz val="9"/>
            <color indexed="81"/>
            <rFont val="Tahoma"/>
            <family val="2"/>
          </rPr>
          <t>Puedes dividirlo en varias sesiones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Pablo Mendaña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Tren Inferior</t>
        </r>
        <r>
          <rPr>
            <sz val="9"/>
            <color indexed="81"/>
            <rFont val="Tahoma"/>
            <family val="2"/>
          </rPr>
          <t xml:space="preserve">
Dominante de Rodilla</t>
        </r>
      </text>
    </comment>
    <comment ref="B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Tren Inferior</t>
        </r>
        <r>
          <rPr>
            <sz val="9"/>
            <color indexed="81"/>
            <rFont val="Tahoma"/>
            <family val="2"/>
          </rPr>
          <t xml:space="preserve">
Dominante de Cadera</t>
        </r>
      </text>
    </comment>
    <comment ref="C1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Tren Superior</t>
        </r>
        <r>
          <rPr>
            <sz val="9"/>
            <color indexed="81"/>
            <rFont val="Tahoma"/>
            <family val="2"/>
          </rPr>
          <t xml:space="preserve">
Empuje Horizontal</t>
        </r>
      </text>
    </comment>
    <comment ref="D1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Tren Superior</t>
        </r>
        <r>
          <rPr>
            <sz val="9"/>
            <color indexed="81"/>
            <rFont val="Tahoma"/>
            <family val="2"/>
          </rPr>
          <t xml:space="preserve">
Tirón Horizontal</t>
        </r>
      </text>
    </comment>
    <comment ref="E1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Tren Superior</t>
        </r>
        <r>
          <rPr>
            <sz val="9"/>
            <color indexed="81"/>
            <rFont val="Tahoma"/>
            <family val="2"/>
          </rPr>
          <t xml:space="preserve">
Empuje Vertical</t>
        </r>
      </text>
    </comment>
    <comment ref="F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Tren Superior</t>
        </r>
        <r>
          <rPr>
            <sz val="9"/>
            <color indexed="81"/>
            <rFont val="Tahoma"/>
            <family val="2"/>
          </rPr>
          <t xml:space="preserve">
Tirón Vertical</t>
        </r>
      </text>
    </comment>
  </commentList>
</comments>
</file>

<file path=xl/sharedStrings.xml><?xml version="1.0" encoding="utf-8"?>
<sst xmlns="http://schemas.openxmlformats.org/spreadsheetml/2006/main" count="354" uniqueCount="141">
  <si>
    <t>Ejercicios</t>
  </si>
  <si>
    <t>MESOCICLO 1</t>
  </si>
  <si>
    <t>MESOCICLO 2</t>
  </si>
  <si>
    <t>MESOCICLO 3</t>
  </si>
  <si>
    <t>MESOCICLO 4</t>
  </si>
  <si>
    <t>Sentadilla</t>
  </si>
  <si>
    <t>RIR</t>
  </si>
  <si>
    <t>Kg</t>
  </si>
  <si>
    <t>Peso muerto</t>
  </si>
  <si>
    <t>Press banca</t>
  </si>
  <si>
    <t>Dominadas</t>
  </si>
  <si>
    <t>1RM(kg)</t>
  </si>
  <si>
    <t>x</t>
  </si>
  <si>
    <t>SxR</t>
  </si>
  <si>
    <t>Microciclo</t>
  </si>
  <si>
    <t>Volumen carga (kg)</t>
  </si>
  <si>
    <t>Press militar</t>
  </si>
  <si>
    <t>Nº reps</t>
  </si>
  <si>
    <t>Hip thrust</t>
  </si>
  <si>
    <t>Mesociclo</t>
  </si>
  <si>
    <t>Consideraciones:</t>
  </si>
  <si>
    <t>Descansos:</t>
  </si>
  <si>
    <t>Levantamientos Actuales (Marcas Personales)</t>
  </si>
  <si>
    <t>Ejercicio</t>
  </si>
  <si>
    <t>Peso (kg)</t>
  </si>
  <si>
    <t>Repeticiones</t>
  </si>
  <si>
    <t>1RM (kg)</t>
  </si>
  <si>
    <t>90% 1RM (kg)</t>
  </si>
  <si>
    <t>Calculadora De 1RM</t>
  </si>
  <si>
    <t>Peso Muerto</t>
  </si>
  <si>
    <t>Calculadora De Repeticiones Objetivo</t>
  </si>
  <si>
    <t>Press Militar</t>
  </si>
  <si>
    <t>Calculadora De Pesos</t>
  </si>
  <si>
    <t>Redondeo</t>
  </si>
  <si>
    <t>Remo Pendlay</t>
  </si>
  <si>
    <t>Peso corporal</t>
  </si>
  <si>
    <t>DIARIO</t>
  </si>
  <si>
    <t>Total:</t>
  </si>
  <si>
    <t>4-6</t>
  </si>
  <si>
    <t>5-7</t>
  </si>
  <si>
    <t>RPE</t>
  </si>
  <si>
    <t>Sentadilla barra alta</t>
  </si>
  <si>
    <t>Sentadilla barra baja</t>
  </si>
  <si>
    <t>Sentadilla frontal</t>
  </si>
  <si>
    <t>Peso muerto convencional</t>
  </si>
  <si>
    <t>Peso muerto sumo</t>
  </si>
  <si>
    <t>Peso muerto barra hexagonal</t>
  </si>
  <si>
    <t>Peso muerto rumano</t>
  </si>
  <si>
    <t>Peso muerto piernas rígidas</t>
  </si>
  <si>
    <t>Rack pulls</t>
  </si>
  <si>
    <t>Sentadilla sumo</t>
  </si>
  <si>
    <t>Sentadilla overhead</t>
  </si>
  <si>
    <t>Press inclinado</t>
  </si>
  <si>
    <t>Press declinado</t>
  </si>
  <si>
    <t>Push press</t>
  </si>
  <si>
    <t>Dominadas neutras</t>
  </si>
  <si>
    <t>Dominadas supinas</t>
  </si>
  <si>
    <t>Dominadas pronas</t>
  </si>
  <si>
    <t>DÍA PR</t>
  </si>
  <si>
    <t>&gt; Recomiendo añadir trabajo de core y compensatorio que ayude a mejorar nuestro rendimiento y prevenir lesiones.</t>
  </si>
  <si>
    <r>
      <t xml:space="preserve">&gt; </t>
    </r>
    <r>
      <rPr>
        <u/>
        <sz val="11"/>
        <color theme="1"/>
        <rFont val="Calibri"/>
        <family val="2"/>
        <scheme val="minor"/>
      </rPr>
      <t>SIEMPRE</t>
    </r>
    <r>
      <rPr>
        <sz val="11"/>
        <color theme="1"/>
        <rFont val="Calibri"/>
        <family val="2"/>
        <scheme val="minor"/>
      </rPr>
      <t xml:space="preserve"> ha de realizarse un calentamiento.</t>
    </r>
  </si>
  <si>
    <t xml:space="preserve">       Cuanto más intensidad (más %RM) más descanso necesitaremos; a menor intensidad menor descanso.</t>
  </si>
  <si>
    <t>Remo</t>
  </si>
  <si>
    <t>Press banca con pausa</t>
  </si>
  <si>
    <t>Press spoto</t>
  </si>
  <si>
    <t>Sentadilla hack</t>
  </si>
  <si>
    <t>Press Larsen</t>
  </si>
  <si>
    <t>Sentadilla al cajón</t>
  </si>
  <si>
    <t>Sentadilla con pines</t>
  </si>
  <si>
    <t>Sentadilla con gomas</t>
  </si>
  <si>
    <t>Press banca agarre cerrado</t>
  </si>
  <si>
    <t>Press banca agarre medio</t>
  </si>
  <si>
    <t>Press banca agarre abierto</t>
  </si>
  <si>
    <t>Board press</t>
  </si>
  <si>
    <t>Press banca con gomas</t>
  </si>
  <si>
    <t>Peso muerto semi sumo</t>
  </si>
  <si>
    <t>Peso muerto con gomas</t>
  </si>
  <si>
    <t>Peso muerto desde bloques</t>
  </si>
  <si>
    <t>Sentadilla con pausa</t>
  </si>
  <si>
    <t>Sentadilla parcial</t>
  </si>
  <si>
    <t>Sentadilla Jefferson</t>
  </si>
  <si>
    <t>Sentadilla Zercher</t>
  </si>
  <si>
    <t>Sentadilla cerrada</t>
  </si>
  <si>
    <t>Floor press</t>
  </si>
  <si>
    <t>Rack press</t>
  </si>
  <si>
    <t>Remo inclinado</t>
  </si>
  <si>
    <t>Peso muerto Jefferson</t>
  </si>
  <si>
    <t>Peso muerto con déficit</t>
  </si>
  <si>
    <t>Press militar con mancuernas</t>
  </si>
  <si>
    <t>Remo en barra T</t>
  </si>
  <si>
    <t>Remo inclinado con pines</t>
  </si>
  <si>
    <t>Press Banca</t>
  </si>
  <si>
    <t>Dominadas australianas</t>
  </si>
  <si>
    <t>Dominadas asistidas</t>
  </si>
  <si>
    <t>Veces que levantas tu peso corporal</t>
  </si>
  <si>
    <t>Nivel de entrnamiento</t>
  </si>
  <si>
    <t>Sexo</t>
  </si>
  <si>
    <t>Hombre</t>
  </si>
  <si>
    <t>Mujer</t>
  </si>
  <si>
    <t>Ajustar RMs cada</t>
  </si>
  <si>
    <t>Otros</t>
  </si>
  <si>
    <t>Intensidad (%1RM)</t>
  </si>
  <si>
    <t xml:space="preserve">Kg </t>
  </si>
  <si>
    <t>Factor de multiplicación</t>
  </si>
  <si>
    <t>&gt;20</t>
  </si>
  <si>
    <t>Sesión 1</t>
  </si>
  <si>
    <t>Sesión 2</t>
  </si>
  <si>
    <t>Sesión 3</t>
  </si>
  <si>
    <t>NIVEL INTERMEDIO</t>
  </si>
  <si>
    <t>INTENSIDAD PROGRESIVA MIXTA</t>
  </si>
  <si>
    <t>TAPERING</t>
  </si>
  <si>
    <t>Intensidad (%RM)</t>
  </si>
  <si>
    <t>sRPE</t>
  </si>
  <si>
    <t>Observaciones</t>
  </si>
  <si>
    <t>Calculadora 1RM</t>
  </si>
  <si>
    <t>RPR</t>
  </si>
  <si>
    <t>Sesión</t>
  </si>
  <si>
    <t>SOLO SI VAS A TESTEAR TUS 1RMs</t>
  </si>
  <si>
    <t>MICROCICLO 1</t>
  </si>
  <si>
    <t>MICROCICLO 2</t>
  </si>
  <si>
    <t>MICROCICLO 3</t>
  </si>
  <si>
    <t>MICROCICLO 4</t>
  </si>
  <si>
    <t>MICROCICLO 5</t>
  </si>
  <si>
    <t>MICROCICLO 6</t>
  </si>
  <si>
    <t>MICROCICLO 7</t>
  </si>
  <si>
    <t>MICROCICLO 8</t>
  </si>
  <si>
    <t>MICROCICLO 9</t>
  </si>
  <si>
    <t>MICROCICLO 10</t>
  </si>
  <si>
    <t>MICROCICLO 11</t>
  </si>
  <si>
    <t>MICROCICLO 12</t>
  </si>
  <si>
    <t>MICROCICLO 13</t>
  </si>
  <si>
    <t>MICROCICLO 14</t>
  </si>
  <si>
    <t>Calculadora Multiusos (genérica)</t>
  </si>
  <si>
    <t>FULLBODY 3 DÍAS</t>
  </si>
  <si>
    <t>Prensa 45º</t>
  </si>
  <si>
    <t>Hip Thrust</t>
  </si>
  <si>
    <t>Remo con mancuerna</t>
  </si>
  <si>
    <t>MACROCICLO DE FUERZA</t>
  </si>
  <si>
    <r>
      <t xml:space="preserve">* Ejercicios accesorios (si los añades): </t>
    </r>
    <r>
      <rPr>
        <b/>
        <sz val="11"/>
        <color theme="1"/>
        <rFont val="Calibri"/>
        <family val="2"/>
        <scheme val="minor"/>
      </rPr>
      <t>1-2'</t>
    </r>
  </si>
  <si>
    <r>
      <t xml:space="preserve">* Ejercicios principales: </t>
    </r>
    <r>
      <rPr>
        <b/>
        <sz val="11"/>
        <color theme="1"/>
        <rFont val="Calibri"/>
        <family val="2"/>
        <scheme val="minor"/>
      </rPr>
      <t>2-5'</t>
    </r>
  </si>
  <si>
    <t>&gt; Es posible añadir trabajo accesorio en base a tus necesidades, siempre que no repercuta en la progresión de los ejercicios básicos.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</si>
</sst>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 Rounded MT Bold"/>
      <family val="2"/>
    </font>
    <font>
      <sz val="14"/>
      <color theme="0"/>
      <name val="Arial Rounded MT Bold"/>
      <family val="2"/>
    </font>
    <font>
      <sz val="10"/>
      <color theme="0"/>
      <name val="Arial Rounded MT Bold"/>
      <family val="2"/>
    </font>
    <font>
      <b/>
      <u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Arial Rounded MT Bold"/>
      <family val="2"/>
    </font>
    <font>
      <b/>
      <i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rgb="FF316094"/>
      <name val="Arial Rounded MT Bold"/>
      <family val="2"/>
    </font>
    <font>
      <sz val="9"/>
      <color indexed="81"/>
      <name val="Tahoma"/>
      <charset val="1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9C65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rgb="FF3F3F3F"/>
      <name val="Calibri"/>
      <family val="2"/>
      <scheme val="minor"/>
    </font>
    <font>
      <i/>
      <sz val="11"/>
      <color rgb="FF1C1F2A"/>
      <name val="Calibri"/>
      <family val="2"/>
      <scheme val="minor"/>
    </font>
    <font>
      <b/>
      <sz val="13"/>
      <color rgb="FF1C1F2A"/>
      <name val="Calibri"/>
      <family val="2"/>
      <scheme val="minor"/>
    </font>
    <font>
      <i/>
      <sz val="12"/>
      <color rgb="FF1C1F2A"/>
      <name val="Calibri"/>
      <family val="2"/>
      <scheme val="minor"/>
    </font>
    <font>
      <b/>
      <sz val="12"/>
      <color rgb="FF1C1F2A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1C1F2A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rgb="FF1C1F2A"/>
      <name val="Calibri"/>
      <family val="2"/>
      <scheme val="minor"/>
    </font>
    <font>
      <i/>
      <sz val="11"/>
      <color rgb="FF3F3F3F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160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6" tint="-0.249977111117893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theme="1"/>
      </right>
      <top style="medium">
        <color theme="1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hair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thin">
        <color rgb="FFB2B2B2"/>
      </left>
      <right style="hair">
        <color auto="1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indexed="64"/>
      </left>
      <right style="medium">
        <color indexed="64"/>
      </right>
      <top style="thin">
        <color theme="0" tint="-0.24994659260841701"/>
      </top>
      <bottom/>
      <diagonal/>
    </border>
  </borders>
  <cellStyleXfs count="10">
    <xf numFmtId="0" fontId="0" fillId="0" borderId="0"/>
    <xf numFmtId="0" fontId="8" fillId="13" borderId="31" applyNumberFormat="0" applyAlignment="0" applyProtection="0"/>
    <xf numFmtId="0" fontId="9" fillId="13" borderId="30" applyNumberFormat="0" applyAlignment="0" applyProtection="0"/>
    <xf numFmtId="0" fontId="7" fillId="14" borderId="32" applyNumberFormat="0" applyFont="0" applyAlignment="0" applyProtection="0"/>
    <xf numFmtId="0" fontId="12" fillId="17" borderId="30" applyNumberFormat="0" applyAlignment="0" applyProtection="0"/>
    <xf numFmtId="0" fontId="14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18" fillId="0" borderId="56" applyNumberFormat="0" applyFill="0" applyAlignment="0" applyProtection="0"/>
    <xf numFmtId="0" fontId="22" fillId="0" borderId="0" applyNumberFormat="0" applyFill="0" applyBorder="0" applyAlignment="0" applyProtection="0"/>
    <xf numFmtId="0" fontId="25" fillId="23" borderId="0" applyNumberFormat="0" applyBorder="0" applyAlignment="0" applyProtection="0"/>
  </cellStyleXfs>
  <cellXfs count="364">
    <xf numFmtId="0" fontId="0" fillId="0" borderId="0" xfId="0"/>
    <xf numFmtId="0" fontId="0" fillId="0" borderId="0" xfId="0" applyAlignment="1">
      <alignment horizontal="right"/>
    </xf>
    <xf numFmtId="0" fontId="12" fillId="17" borderId="28" xfId="4" applyBorder="1" applyAlignment="1" applyProtection="1">
      <alignment horizontal="center" vertical="center"/>
      <protection locked="0"/>
    </xf>
    <xf numFmtId="0" fontId="12" fillId="17" borderId="29" xfId="4" applyBorder="1" applyAlignment="1" applyProtection="1">
      <alignment horizontal="center" vertical="center"/>
      <protection locked="0"/>
    </xf>
    <xf numFmtId="0" fontId="12" fillId="17" borderId="51" xfId="4" applyBorder="1" applyAlignment="1" applyProtection="1">
      <alignment horizontal="center" vertical="center"/>
      <protection locked="0"/>
    </xf>
    <xf numFmtId="0" fontId="12" fillId="17" borderId="39" xfId="4" applyBorder="1" applyAlignment="1" applyProtection="1">
      <alignment horizontal="center"/>
      <protection locked="0"/>
    </xf>
    <xf numFmtId="0" fontId="5" fillId="11" borderId="1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3" fontId="11" fillId="0" borderId="0" xfId="1" applyNumberFormat="1" applyFont="1" applyFill="1" applyBorder="1" applyProtection="1"/>
    <xf numFmtId="0" fontId="0" fillId="0" borderId="60" xfId="0" applyBorder="1" applyAlignment="1">
      <alignment horizontal="right"/>
    </xf>
    <xf numFmtId="3" fontId="18" fillId="21" borderId="61" xfId="7" applyNumberFormat="1" applyFill="1" applyBorder="1" applyProtection="1"/>
    <xf numFmtId="0" fontId="0" fillId="9" borderId="46" xfId="0" applyFill="1" applyBorder="1"/>
    <xf numFmtId="0" fontId="0" fillId="9" borderId="58" xfId="0" applyFill="1" applyBorder="1"/>
    <xf numFmtId="0" fontId="0" fillId="9" borderId="62" xfId="0" applyFill="1" applyBorder="1"/>
    <xf numFmtId="0" fontId="8" fillId="13" borderId="53" xfId="1" applyBorder="1" applyAlignment="1" applyProtection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8" fillId="13" borderId="64" xfId="1" applyBorder="1" applyProtection="1"/>
    <xf numFmtId="0" fontId="8" fillId="13" borderId="65" xfId="1" applyBorder="1" applyProtection="1"/>
    <xf numFmtId="0" fontId="24" fillId="18" borderId="20" xfId="0" applyFont="1" applyFill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4" fillId="18" borderId="42" xfId="0" applyFont="1" applyFill="1" applyBorder="1" applyAlignment="1">
      <alignment horizontal="center" vertical="center"/>
    </xf>
    <xf numFmtId="0" fontId="28" fillId="19" borderId="70" xfId="8" applyFont="1" applyFill="1" applyBorder="1" applyAlignment="1" applyProtection="1">
      <alignment horizontal="center" vertical="center" wrapText="1"/>
    </xf>
    <xf numFmtId="0" fontId="28" fillId="0" borderId="70" xfId="8" applyFont="1" applyFill="1" applyBorder="1" applyAlignment="1" applyProtection="1">
      <alignment horizontal="center" vertical="center" wrapText="1"/>
    </xf>
    <xf numFmtId="0" fontId="28" fillId="0" borderId="52" xfId="8" applyFont="1" applyFill="1" applyBorder="1" applyAlignment="1" applyProtection="1">
      <alignment horizontal="center" vertical="center" wrapText="1"/>
    </xf>
    <xf numFmtId="0" fontId="0" fillId="0" borderId="71" xfId="0" applyBorder="1"/>
    <xf numFmtId="0" fontId="0" fillId="0" borderId="74" xfId="0" applyBorder="1"/>
    <xf numFmtId="0" fontId="0" fillId="0" borderId="75" xfId="0" applyBorder="1"/>
    <xf numFmtId="0" fontId="15" fillId="19" borderId="3" xfId="0" applyFont="1" applyFill="1" applyBorder="1"/>
    <xf numFmtId="0" fontId="15" fillId="0" borderId="0" xfId="0" applyFont="1"/>
    <xf numFmtId="0" fontId="15" fillId="19" borderId="5" xfId="0" applyFont="1" applyFill="1" applyBorder="1"/>
    <xf numFmtId="0" fontId="15" fillId="19" borderId="7" xfId="0" applyFont="1" applyFill="1" applyBorder="1"/>
    <xf numFmtId="0" fontId="0" fillId="0" borderId="76" xfId="0" applyBorder="1"/>
    <xf numFmtId="0" fontId="0" fillId="0" borderId="77" xfId="0" applyBorder="1"/>
    <xf numFmtId="0" fontId="0" fillId="0" borderId="73" xfId="0" applyBorder="1"/>
    <xf numFmtId="0" fontId="0" fillId="0" borderId="72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8" fillId="13" borderId="1" xfId="1" applyBorder="1" applyProtection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30" fillId="0" borderId="68" xfId="8" applyFont="1" applyFill="1" applyBorder="1" applyProtection="1"/>
    <xf numFmtId="0" fontId="31" fillId="0" borderId="69" xfId="1" applyFont="1" applyFill="1" applyBorder="1" applyProtection="1"/>
    <xf numFmtId="0" fontId="28" fillId="19" borderId="53" xfId="8" applyFont="1" applyFill="1" applyBorder="1" applyAlignment="1" applyProtection="1">
      <alignment horizontal="center" vertical="center" wrapText="1"/>
    </xf>
    <xf numFmtId="0" fontId="29" fillId="23" borderId="29" xfId="9" applyFont="1" applyBorder="1" applyAlignment="1" applyProtection="1">
      <alignment horizontal="center" vertical="center" wrapText="1"/>
    </xf>
    <xf numFmtId="0" fontId="0" fillId="0" borderId="89" xfId="0" applyBorder="1"/>
    <xf numFmtId="0" fontId="0" fillId="0" borderId="90" xfId="0" applyBorder="1"/>
    <xf numFmtId="0" fontId="0" fillId="0" borderId="91" xfId="0" applyBorder="1"/>
    <xf numFmtId="0" fontId="29" fillId="23" borderId="92" xfId="9" applyFont="1" applyBorder="1" applyAlignment="1" applyProtection="1">
      <alignment horizontal="center" vertical="center" wrapText="1"/>
    </xf>
    <xf numFmtId="0" fontId="29" fillId="23" borderId="93" xfId="9" applyFont="1" applyBorder="1" applyAlignment="1" applyProtection="1">
      <alignment horizontal="center" vertical="center" wrapText="1"/>
    </xf>
    <xf numFmtId="0" fontId="29" fillId="23" borderId="94" xfId="9" applyFont="1" applyBorder="1" applyAlignment="1" applyProtection="1">
      <alignment horizontal="center" vertical="center" wrapText="1"/>
    </xf>
    <xf numFmtId="0" fontId="32" fillId="13" borderId="42" xfId="1" applyFont="1" applyBorder="1" applyAlignment="1" applyProtection="1">
      <alignment vertical="center"/>
    </xf>
    <xf numFmtId="0" fontId="34" fillId="3" borderId="46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9" fontId="34" fillId="3" borderId="49" xfId="0" applyNumberFormat="1" applyFont="1" applyFill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34" fillId="3" borderId="49" xfId="0" applyFont="1" applyFill="1" applyBorder="1" applyAlignment="1">
      <alignment horizontal="center" vertic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15" borderId="1" xfId="0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32" fillId="13" borderId="95" xfId="1" applyFont="1" applyBorder="1" applyAlignment="1" applyProtection="1">
      <alignment vertical="center"/>
    </xf>
    <xf numFmtId="165" fontId="0" fillId="0" borderId="11" xfId="0" applyNumberFormat="1" applyBorder="1"/>
    <xf numFmtId="165" fontId="0" fillId="0" borderId="12" xfId="0" applyNumberFormat="1" applyBorder="1"/>
    <xf numFmtId="0" fontId="12" fillId="17" borderId="92" xfId="4" applyBorder="1" applyAlignment="1" applyProtection="1">
      <alignment horizontal="center" vertical="center"/>
      <protection locked="0"/>
    </xf>
    <xf numFmtId="0" fontId="12" fillId="17" borderId="97" xfId="4" applyBorder="1" applyAlignment="1" applyProtection="1">
      <alignment horizontal="center" vertical="center"/>
      <protection locked="0"/>
    </xf>
    <xf numFmtId="0" fontId="12" fillId="17" borderId="98" xfId="4" applyBorder="1" applyAlignment="1" applyProtection="1">
      <alignment horizontal="center" vertical="center"/>
      <protection locked="0"/>
    </xf>
    <xf numFmtId="0" fontId="27" fillId="13" borderId="19" xfId="1" applyFont="1" applyBorder="1" applyAlignment="1" applyProtection="1">
      <alignment horizontal="center" vertical="center"/>
    </xf>
    <xf numFmtId="0" fontId="27" fillId="13" borderId="99" xfId="1" applyFont="1" applyBorder="1" applyAlignment="1" applyProtection="1">
      <alignment horizontal="center" vertical="center"/>
    </xf>
    <xf numFmtId="0" fontId="27" fillId="13" borderId="100" xfId="1" applyFont="1" applyBorder="1" applyAlignment="1" applyProtection="1">
      <alignment horizontal="center" vertical="center"/>
    </xf>
    <xf numFmtId="0" fontId="0" fillId="19" borderId="9" xfId="0" applyFill="1" applyBorder="1" applyAlignment="1">
      <alignment horizontal="left"/>
    </xf>
    <xf numFmtId="0" fontId="0" fillId="19" borderId="0" xfId="0" applyFill="1" applyAlignment="1">
      <alignment horizontal="left"/>
    </xf>
    <xf numFmtId="0" fontId="15" fillId="19" borderId="8" xfId="0" applyFont="1" applyFill="1" applyBorder="1" applyAlignment="1">
      <alignment horizontal="left"/>
    </xf>
    <xf numFmtId="0" fontId="19" fillId="19" borderId="0" xfId="5" applyFont="1" applyFill="1" applyBorder="1" applyAlignment="1" applyProtection="1">
      <alignment horizontal="left"/>
    </xf>
    <xf numFmtId="0" fontId="9" fillId="13" borderId="62" xfId="2" applyBorder="1" applyAlignment="1">
      <alignment horizontal="right"/>
    </xf>
    <xf numFmtId="0" fontId="9" fillId="13" borderId="62" xfId="2" applyBorder="1"/>
    <xf numFmtId="0" fontId="9" fillId="13" borderId="100" xfId="2" applyBorder="1"/>
    <xf numFmtId="1" fontId="0" fillId="14" borderId="34" xfId="3" applyNumberFormat="1" applyFont="1" applyBorder="1" applyAlignment="1" applyProtection="1">
      <alignment horizontal="center" vertical="center"/>
      <protection locked="0"/>
    </xf>
    <xf numFmtId="1" fontId="0" fillId="14" borderId="104" xfId="3" applyNumberFormat="1" applyFont="1" applyBorder="1" applyAlignment="1" applyProtection="1">
      <alignment horizontal="center" vertical="center"/>
      <protection locked="0"/>
    </xf>
    <xf numFmtId="1" fontId="0" fillId="14" borderId="35" xfId="3" applyNumberFormat="1" applyFont="1" applyBorder="1" applyAlignment="1" applyProtection="1">
      <alignment horizontal="center" vertical="center"/>
      <protection locked="0"/>
    </xf>
    <xf numFmtId="1" fontId="0" fillId="14" borderId="105" xfId="3" applyNumberFormat="1" applyFont="1" applyBorder="1" applyAlignment="1" applyProtection="1">
      <alignment horizontal="center" vertical="center"/>
      <protection locked="0"/>
    </xf>
    <xf numFmtId="1" fontId="0" fillId="14" borderId="36" xfId="3" applyNumberFormat="1" applyFont="1" applyBorder="1" applyAlignment="1" applyProtection="1">
      <alignment horizontal="center" vertical="center"/>
      <protection locked="0"/>
    </xf>
    <xf numFmtId="1" fontId="0" fillId="14" borderId="106" xfId="3" applyNumberFormat="1" applyFont="1" applyBorder="1" applyAlignment="1" applyProtection="1">
      <alignment horizontal="center" vertical="center"/>
      <protection locked="0"/>
    </xf>
    <xf numFmtId="1" fontId="0" fillId="14" borderId="101" xfId="3" applyNumberFormat="1" applyFont="1" applyBorder="1" applyAlignment="1" applyProtection="1">
      <alignment horizontal="center" vertical="center"/>
      <protection locked="0"/>
    </xf>
    <xf numFmtId="1" fontId="0" fillId="14" borderId="102" xfId="3" applyNumberFormat="1" applyFont="1" applyBorder="1" applyAlignment="1" applyProtection="1">
      <alignment horizontal="center" vertical="center"/>
      <protection locked="0"/>
    </xf>
    <xf numFmtId="1" fontId="0" fillId="14" borderId="103" xfId="3" applyNumberFormat="1" applyFont="1" applyBorder="1" applyAlignment="1" applyProtection="1">
      <alignment horizontal="center" vertical="center"/>
      <protection locked="0"/>
    </xf>
    <xf numFmtId="1" fontId="0" fillId="14" borderId="107" xfId="3" applyNumberFormat="1" applyFont="1" applyBorder="1" applyAlignment="1" applyProtection="1">
      <alignment horizontal="center" vertical="center"/>
      <protection locked="0"/>
    </xf>
    <xf numFmtId="1" fontId="0" fillId="14" borderId="32" xfId="3" applyNumberFormat="1" applyFont="1" applyAlignment="1" applyProtection="1">
      <alignment horizontal="center" vertical="center"/>
      <protection locked="0"/>
    </xf>
    <xf numFmtId="1" fontId="0" fillId="14" borderId="108" xfId="3" applyNumberFormat="1" applyFont="1" applyBorder="1" applyAlignment="1" applyProtection="1">
      <alignment horizontal="center" vertical="center"/>
      <protection locked="0"/>
    </xf>
    <xf numFmtId="1" fontId="0" fillId="14" borderId="109" xfId="3" applyNumberFormat="1" applyFont="1" applyBorder="1" applyAlignment="1" applyProtection="1">
      <alignment horizontal="center" vertical="center"/>
      <protection locked="0"/>
    </xf>
    <xf numFmtId="0" fontId="12" fillId="17" borderId="63" xfId="4" applyBorder="1" applyAlignment="1" applyProtection="1">
      <alignment vertical="center"/>
      <protection locked="0"/>
    </xf>
    <xf numFmtId="3" fontId="0" fillId="5" borderId="57" xfId="0" applyNumberFormat="1" applyFill="1" applyBorder="1" applyAlignment="1">
      <alignment vertical="center"/>
    </xf>
    <xf numFmtId="3" fontId="0" fillId="16" borderId="23" xfId="0" applyNumberFormat="1" applyFill="1" applyBorder="1" applyAlignment="1">
      <alignment vertical="center"/>
    </xf>
    <xf numFmtId="3" fontId="0" fillId="2" borderId="8" xfId="0" applyNumberFormat="1" applyFill="1" applyBorder="1" applyAlignment="1">
      <alignment vertical="center"/>
    </xf>
    <xf numFmtId="3" fontId="0" fillId="5" borderId="27" xfId="0" applyNumberFormat="1" applyFill="1" applyBorder="1" applyAlignment="1">
      <alignment vertical="center"/>
    </xf>
    <xf numFmtId="3" fontId="0" fillId="16" borderId="10" xfId="0" applyNumberFormat="1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5" borderId="26" xfId="0" applyNumberFormat="1" applyFill="1" applyBorder="1" applyAlignment="1">
      <alignment vertical="center"/>
    </xf>
    <xf numFmtId="3" fontId="0" fillId="2" borderId="33" xfId="0" applyNumberFormat="1" applyFill="1" applyBorder="1" applyAlignment="1">
      <alignment vertical="center"/>
    </xf>
    <xf numFmtId="3" fontId="0" fillId="7" borderId="57" xfId="0" applyNumberFormat="1" applyFill="1" applyBorder="1" applyAlignment="1">
      <alignment vertical="center"/>
    </xf>
    <xf numFmtId="3" fontId="0" fillId="7" borderId="27" xfId="0" applyNumberFormat="1" applyFill="1" applyBorder="1" applyAlignment="1">
      <alignment vertical="center"/>
    </xf>
    <xf numFmtId="3" fontId="0" fillId="7" borderId="26" xfId="0" applyNumberFormat="1" applyFill="1" applyBorder="1" applyAlignment="1">
      <alignment vertical="center"/>
    </xf>
    <xf numFmtId="3" fontId="0" fillId="6" borderId="27" xfId="0" applyNumberFormat="1" applyFill="1" applyBorder="1" applyAlignment="1">
      <alignment vertical="center"/>
    </xf>
    <xf numFmtId="3" fontId="0" fillId="6" borderId="26" xfId="0" applyNumberFormat="1" applyFill="1" applyBorder="1" applyAlignment="1">
      <alignment vertical="center"/>
    </xf>
    <xf numFmtId="3" fontId="0" fillId="16" borderId="24" xfId="0" applyNumberFormat="1" applyFill="1" applyBorder="1" applyAlignment="1">
      <alignment vertical="center"/>
    </xf>
    <xf numFmtId="3" fontId="0" fillId="15" borderId="23" xfId="0" applyNumberFormat="1" applyFill="1" applyBorder="1" applyAlignment="1">
      <alignment vertical="center"/>
    </xf>
    <xf numFmtId="3" fontId="0" fillId="15" borderId="10" xfId="0" applyNumberFormat="1" applyFill="1" applyBorder="1" applyAlignment="1">
      <alignment vertical="center"/>
    </xf>
    <xf numFmtId="3" fontId="0" fillId="15" borderId="24" xfId="0" applyNumberFormat="1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0" fillId="2" borderId="25" xfId="0" applyNumberFormat="1" applyFill="1" applyBorder="1" applyAlignment="1">
      <alignment vertical="center"/>
    </xf>
    <xf numFmtId="3" fontId="0" fillId="6" borderId="57" xfId="0" applyNumberFormat="1" applyFill="1" applyBorder="1" applyAlignment="1">
      <alignment vertical="center"/>
    </xf>
    <xf numFmtId="3" fontId="0" fillId="12" borderId="8" xfId="0" applyNumberFormat="1" applyFill="1" applyBorder="1" applyAlignment="1">
      <alignment vertical="center"/>
    </xf>
    <xf numFmtId="3" fontId="0" fillId="12" borderId="0" xfId="0" applyNumberFormat="1" applyFill="1" applyAlignment="1">
      <alignment vertical="center"/>
    </xf>
    <xf numFmtId="3" fontId="0" fillId="12" borderId="33" xfId="0" applyNumberFormat="1" applyFill="1" applyBorder="1" applyAlignment="1">
      <alignment vertical="center"/>
    </xf>
    <xf numFmtId="3" fontId="0" fillId="12" borderId="5" xfId="0" applyNumberFormat="1" applyFill="1" applyBorder="1" applyAlignment="1">
      <alignment vertical="center"/>
    </xf>
    <xf numFmtId="3" fontId="0" fillId="12" borderId="25" xfId="0" applyNumberFormat="1" applyFill="1" applyBorder="1" applyAlignment="1">
      <alignment vertical="center"/>
    </xf>
    <xf numFmtId="0" fontId="0" fillId="14" borderId="101" xfId="3" applyFont="1" applyBorder="1" applyAlignment="1" applyProtection="1">
      <alignment horizontal="left"/>
      <protection locked="0"/>
    </xf>
    <xf numFmtId="0" fontId="0" fillId="14" borderId="102" xfId="3" applyFont="1" applyBorder="1" applyAlignment="1" applyProtection="1">
      <alignment horizontal="left"/>
      <protection locked="0"/>
    </xf>
    <xf numFmtId="0" fontId="0" fillId="14" borderId="103" xfId="3" applyFont="1" applyBorder="1" applyAlignment="1" applyProtection="1">
      <alignment horizontal="left"/>
      <protection locked="0"/>
    </xf>
    <xf numFmtId="0" fontId="0" fillId="14" borderId="86" xfId="3" applyFont="1" applyBorder="1" applyAlignment="1" applyProtection="1">
      <alignment horizontal="center" vertical="center"/>
      <protection locked="0"/>
    </xf>
    <xf numFmtId="0" fontId="0" fillId="14" borderId="87" xfId="3" applyFont="1" applyBorder="1" applyAlignment="1" applyProtection="1">
      <alignment horizontal="center" vertical="center"/>
      <protection locked="0"/>
    </xf>
    <xf numFmtId="0" fontId="0" fillId="14" borderId="88" xfId="3" applyFont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/>
    </xf>
    <xf numFmtId="0" fontId="10" fillId="8" borderId="59" xfId="0" applyFont="1" applyFill="1" applyBorder="1" applyAlignment="1">
      <alignment horizontal="center" vertical="center"/>
    </xf>
    <xf numFmtId="0" fontId="0" fillId="14" borderId="86" xfId="3" applyNumberFormat="1" applyFont="1" applyBorder="1" applyAlignment="1" applyProtection="1">
      <alignment horizontal="center" vertical="center"/>
      <protection locked="0"/>
    </xf>
    <xf numFmtId="0" fontId="0" fillId="14" borderId="87" xfId="3" applyNumberFormat="1" applyFont="1" applyBorder="1" applyAlignment="1" applyProtection="1">
      <alignment horizontal="center" vertical="center"/>
      <protection locked="0"/>
    </xf>
    <xf numFmtId="0" fontId="0" fillId="14" borderId="88" xfId="3" applyNumberFormat="1" applyFont="1" applyBorder="1" applyAlignment="1" applyProtection="1">
      <alignment horizontal="center" vertical="center"/>
      <protection locked="0"/>
    </xf>
    <xf numFmtId="0" fontId="0" fillId="14" borderId="110" xfId="3" applyNumberFormat="1" applyFont="1" applyBorder="1" applyAlignment="1" applyProtection="1">
      <alignment horizontal="center" vertical="center"/>
      <protection locked="0"/>
    </xf>
    <xf numFmtId="1" fontId="0" fillId="14" borderId="111" xfId="3" applyNumberFormat="1" applyFont="1" applyBorder="1" applyAlignment="1" applyProtection="1">
      <alignment horizontal="center" vertical="center"/>
      <protection locked="0"/>
    </xf>
    <xf numFmtId="1" fontId="0" fillId="14" borderId="112" xfId="3" applyNumberFormat="1" applyFont="1" applyBorder="1" applyAlignment="1" applyProtection="1">
      <alignment horizontal="center" vertical="center"/>
      <protection locked="0"/>
    </xf>
    <xf numFmtId="1" fontId="0" fillId="14" borderId="113" xfId="3" applyNumberFormat="1" applyFont="1" applyBorder="1" applyAlignment="1" applyProtection="1">
      <alignment horizontal="center" vertical="center"/>
      <protection locked="0"/>
    </xf>
    <xf numFmtId="1" fontId="0" fillId="14" borderId="114" xfId="3" applyNumberFormat="1" applyFont="1" applyBorder="1" applyAlignment="1" applyProtection="1">
      <alignment horizontal="center" vertical="center"/>
      <protection locked="0"/>
    </xf>
    <xf numFmtId="1" fontId="0" fillId="14" borderId="115" xfId="3" applyNumberFormat="1" applyFont="1" applyBorder="1" applyAlignment="1" applyProtection="1">
      <alignment horizontal="center" vertical="center"/>
      <protection locked="0"/>
    </xf>
    <xf numFmtId="1" fontId="0" fillId="14" borderId="116" xfId="3" applyNumberFormat="1" applyFont="1" applyBorder="1" applyAlignment="1" applyProtection="1">
      <alignment horizontal="center" vertical="center"/>
      <protection locked="0"/>
    </xf>
    <xf numFmtId="1" fontId="0" fillId="14" borderId="117" xfId="3" applyNumberFormat="1" applyFont="1" applyBorder="1" applyAlignment="1" applyProtection="1">
      <alignment horizontal="center" vertical="center"/>
      <protection locked="0"/>
    </xf>
    <xf numFmtId="1" fontId="0" fillId="14" borderId="118" xfId="3" applyNumberFormat="1" applyFont="1" applyBorder="1" applyAlignment="1" applyProtection="1">
      <alignment horizontal="center" vertical="center"/>
      <protection locked="0"/>
    </xf>
    <xf numFmtId="1" fontId="0" fillId="14" borderId="119" xfId="3" applyNumberFormat="1" applyFont="1" applyBorder="1" applyAlignment="1" applyProtection="1">
      <alignment horizontal="center" vertical="center"/>
      <protection locked="0"/>
    </xf>
    <xf numFmtId="1" fontId="0" fillId="14" borderId="120" xfId="3" applyNumberFormat="1" applyFont="1" applyBorder="1" applyAlignment="1" applyProtection="1">
      <alignment horizontal="center" vertical="center"/>
      <protection locked="0"/>
    </xf>
    <xf numFmtId="1" fontId="0" fillId="14" borderId="121" xfId="3" applyNumberFormat="1" applyFont="1" applyBorder="1" applyAlignment="1" applyProtection="1">
      <alignment horizontal="center" vertical="center"/>
      <protection locked="0"/>
    </xf>
    <xf numFmtId="1" fontId="0" fillId="14" borderId="122" xfId="3" applyNumberFormat="1" applyFont="1" applyBorder="1" applyAlignment="1" applyProtection="1">
      <alignment horizontal="center" vertical="center"/>
      <protection locked="0"/>
    </xf>
    <xf numFmtId="0" fontId="10" fillId="8" borderId="62" xfId="0" applyFont="1" applyFill="1" applyBorder="1" applyAlignment="1">
      <alignment horizontal="center" vertical="center"/>
    </xf>
    <xf numFmtId="0" fontId="9" fillId="13" borderId="37" xfId="2" applyBorder="1" applyAlignment="1" applyProtection="1">
      <alignment horizontal="center" vertical="center"/>
    </xf>
    <xf numFmtId="0" fontId="9" fillId="13" borderId="38" xfId="2" applyBorder="1" applyAlignment="1" applyProtection="1">
      <alignment horizontal="center" vertical="center"/>
    </xf>
    <xf numFmtId="0" fontId="9" fillId="13" borderId="40" xfId="2" applyBorder="1" applyAlignment="1" applyProtection="1">
      <alignment horizontal="center" vertical="center"/>
    </xf>
    <xf numFmtId="0" fontId="9" fillId="13" borderId="58" xfId="2" applyBorder="1" applyAlignment="1" applyProtection="1">
      <alignment horizontal="center" vertical="center"/>
    </xf>
    <xf numFmtId="0" fontId="9" fillId="13" borderId="41" xfId="2" applyBorder="1" applyAlignment="1" applyProtection="1">
      <alignment horizontal="center" vertical="center"/>
    </xf>
    <xf numFmtId="0" fontId="9" fillId="13" borderId="39" xfId="2" applyBorder="1" applyAlignment="1" applyProtection="1">
      <alignment horizontal="center" vertical="center"/>
    </xf>
    <xf numFmtId="0" fontId="8" fillId="13" borderId="29" xfId="1" applyBorder="1" applyAlignment="1" applyProtection="1">
      <alignment horizontal="center" vertical="center"/>
    </xf>
    <xf numFmtId="0" fontId="12" fillId="17" borderId="22" xfId="4" applyBorder="1" applyAlignment="1" applyProtection="1">
      <alignment horizontal="center" vertical="center"/>
      <protection locked="0"/>
    </xf>
    <xf numFmtId="0" fontId="8" fillId="13" borderId="51" xfId="1" applyBorder="1" applyAlignment="1" applyProtection="1">
      <alignment horizontal="center" vertical="center"/>
    </xf>
    <xf numFmtId="0" fontId="12" fillId="17" borderId="52" xfId="4" applyBorder="1" applyAlignment="1" applyProtection="1">
      <alignment horizontal="center" vertical="center"/>
      <protection locked="0"/>
    </xf>
    <xf numFmtId="0" fontId="34" fillId="3" borderId="126" xfId="0" applyFont="1" applyFill="1" applyBorder="1" applyAlignment="1">
      <alignment horizontal="center" vertical="center"/>
    </xf>
    <xf numFmtId="0" fontId="37" fillId="13" borderId="127" xfId="1" applyFont="1" applyBorder="1" applyAlignment="1" applyProtection="1">
      <alignment horizontal="center" vertical="center"/>
    </xf>
    <xf numFmtId="0" fontId="37" fillId="13" borderId="125" xfId="1" applyFont="1" applyBorder="1" applyAlignment="1" applyProtection="1">
      <alignment horizontal="center" vertical="center"/>
    </xf>
    <xf numFmtId="0" fontId="38" fillId="13" borderId="95" xfId="1" applyFont="1" applyBorder="1" applyAlignment="1" applyProtection="1">
      <alignment vertical="center"/>
    </xf>
    <xf numFmtId="0" fontId="38" fillId="13" borderId="96" xfId="1" applyFont="1" applyBorder="1" applyAlignment="1" applyProtection="1">
      <alignment vertical="center"/>
    </xf>
    <xf numFmtId="0" fontId="0" fillId="10" borderId="128" xfId="0" applyFill="1" applyBorder="1" applyAlignment="1">
      <alignment vertical="center"/>
    </xf>
    <xf numFmtId="0" fontId="0" fillId="10" borderId="129" xfId="0" applyFill="1" applyBorder="1" applyAlignment="1">
      <alignment vertical="center"/>
    </xf>
    <xf numFmtId="0" fontId="0" fillId="10" borderId="129" xfId="0" applyFill="1" applyBorder="1" applyAlignment="1">
      <alignment horizontal="right" vertical="center"/>
    </xf>
    <xf numFmtId="0" fontId="0" fillId="0" borderId="130" xfId="0" applyBorder="1" applyAlignment="1">
      <alignment horizontal="center" vertical="center"/>
    </xf>
    <xf numFmtId="164" fontId="0" fillId="0" borderId="131" xfId="0" applyNumberFormat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10" borderId="132" xfId="0" applyFill="1" applyBorder="1" applyAlignment="1">
      <alignment vertical="center"/>
    </xf>
    <xf numFmtId="0" fontId="0" fillId="10" borderId="133" xfId="0" applyFill="1" applyBorder="1" applyAlignment="1">
      <alignment vertical="center"/>
    </xf>
    <xf numFmtId="0" fontId="0" fillId="10" borderId="133" xfId="0" applyFill="1" applyBorder="1" applyAlignment="1">
      <alignment horizontal="right" vertical="center"/>
    </xf>
    <xf numFmtId="0" fontId="0" fillId="0" borderId="134" xfId="0" applyBorder="1" applyAlignment="1">
      <alignment horizontal="center" vertical="center"/>
    </xf>
    <xf numFmtId="164" fontId="0" fillId="0" borderId="132" xfId="0" applyNumberForma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10" borderId="136" xfId="0" applyFill="1" applyBorder="1" applyAlignment="1">
      <alignment vertical="center"/>
    </xf>
    <xf numFmtId="0" fontId="0" fillId="10" borderId="137" xfId="0" applyFill="1" applyBorder="1" applyAlignment="1">
      <alignment vertical="center"/>
    </xf>
    <xf numFmtId="0" fontId="0" fillId="10" borderId="137" xfId="0" applyFill="1" applyBorder="1" applyAlignment="1">
      <alignment horizontal="right" vertical="center"/>
    </xf>
    <xf numFmtId="0" fontId="0" fillId="0" borderId="138" xfId="0" applyBorder="1" applyAlignment="1">
      <alignment horizontal="center" vertical="center"/>
    </xf>
    <xf numFmtId="164" fontId="0" fillId="0" borderId="139" xfId="0" applyNumberForma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164" fontId="0" fillId="0" borderId="135" xfId="0" applyNumberFormat="1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35" xfId="0" applyBorder="1" applyAlignment="1">
      <alignment vertical="center"/>
    </xf>
    <xf numFmtId="0" fontId="0" fillId="10" borderId="141" xfId="0" applyFill="1" applyBorder="1" applyAlignment="1">
      <alignment horizontal="right" vertical="center"/>
    </xf>
    <xf numFmtId="0" fontId="0" fillId="0" borderId="139" xfId="0" applyBorder="1" applyAlignment="1">
      <alignment vertical="center"/>
    </xf>
    <xf numFmtId="0" fontId="0" fillId="10" borderId="143" xfId="0" applyFill="1" applyBorder="1" applyAlignment="1">
      <alignment vertical="center"/>
    </xf>
    <xf numFmtId="0" fontId="0" fillId="10" borderId="144" xfId="0" applyFill="1" applyBorder="1" applyAlignment="1">
      <alignment vertical="center"/>
    </xf>
    <xf numFmtId="0" fontId="0" fillId="10" borderId="144" xfId="0" applyFill="1" applyBorder="1" applyAlignment="1">
      <alignment horizontal="right" vertical="center"/>
    </xf>
    <xf numFmtId="0" fontId="0" fillId="0" borderId="145" xfId="0" applyBorder="1" applyAlignment="1">
      <alignment horizontal="center" vertical="center"/>
    </xf>
    <xf numFmtId="164" fontId="0" fillId="0" borderId="143" xfId="0" applyNumberForma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42" xfId="0" applyBorder="1" applyAlignment="1">
      <alignment vertical="center"/>
    </xf>
    <xf numFmtId="164" fontId="0" fillId="0" borderId="128" xfId="0" applyNumberFormat="1" applyBorder="1" applyAlignment="1">
      <alignment horizontal="center" vertical="center"/>
    </xf>
    <xf numFmtId="164" fontId="0" fillId="0" borderId="136" xfId="0" applyNumberFormat="1" applyBorder="1" applyAlignment="1">
      <alignment horizontal="center" vertical="center"/>
    </xf>
    <xf numFmtId="0" fontId="0" fillId="0" borderId="131" xfId="0" applyBorder="1" applyAlignment="1">
      <alignment vertical="center"/>
    </xf>
    <xf numFmtId="0" fontId="12" fillId="17" borderId="30" xfId="4" applyAlignment="1" applyProtection="1">
      <alignment vertical="center"/>
      <protection locked="0"/>
    </xf>
    <xf numFmtId="0" fontId="12" fillId="17" borderId="39" xfId="4" applyBorder="1" applyAlignment="1" applyProtection="1">
      <alignment vertical="center"/>
      <protection locked="0"/>
    </xf>
    <xf numFmtId="0" fontId="0" fillId="0" borderId="131" xfId="0" applyBorder="1"/>
    <xf numFmtId="0" fontId="0" fillId="10" borderId="129" xfId="0" applyFill="1" applyBorder="1"/>
    <xf numFmtId="0" fontId="0" fillId="10" borderId="129" xfId="0" applyFill="1" applyBorder="1" applyAlignment="1">
      <alignment horizontal="right"/>
    </xf>
    <xf numFmtId="16" fontId="0" fillId="0" borderId="130" xfId="0" quotePrefix="1" applyNumberFormat="1" applyBorder="1" applyAlignment="1">
      <alignment horizontal="center" vertical="center"/>
    </xf>
    <xf numFmtId="9" fontId="0" fillId="0" borderId="131" xfId="0" applyNumberFormat="1" applyBorder="1" applyAlignment="1">
      <alignment horizontal="center"/>
    </xf>
    <xf numFmtId="0" fontId="0" fillId="0" borderId="131" xfId="0" applyBorder="1" applyAlignment="1">
      <alignment horizontal="center"/>
    </xf>
    <xf numFmtId="0" fontId="0" fillId="0" borderId="135" xfId="0" applyBorder="1"/>
    <xf numFmtId="0" fontId="0" fillId="10" borderId="133" xfId="0" applyFill="1" applyBorder="1"/>
    <xf numFmtId="0" fontId="0" fillId="10" borderId="133" xfId="0" applyFill="1" applyBorder="1" applyAlignment="1">
      <alignment horizontal="right"/>
    </xf>
    <xf numFmtId="0" fontId="0" fillId="0" borderId="134" xfId="0" quotePrefix="1" applyBorder="1" applyAlignment="1">
      <alignment horizontal="center" vertical="center"/>
    </xf>
    <xf numFmtId="9" fontId="0" fillId="0" borderId="135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10" borderId="132" xfId="0" applyFill="1" applyBorder="1"/>
    <xf numFmtId="0" fontId="0" fillId="10" borderId="141" xfId="0" applyFill="1" applyBorder="1" applyAlignment="1">
      <alignment horizontal="right"/>
    </xf>
    <xf numFmtId="0" fontId="17" fillId="20" borderId="135" xfId="6" applyBorder="1" applyAlignment="1" applyProtection="1">
      <alignment horizontal="center"/>
    </xf>
    <xf numFmtId="0" fontId="0" fillId="0" borderId="139" xfId="0" applyBorder="1"/>
    <xf numFmtId="0" fontId="0" fillId="10" borderId="136" xfId="0" applyFill="1" applyBorder="1"/>
    <xf numFmtId="0" fontId="0" fillId="10" borderId="137" xfId="0" applyFill="1" applyBorder="1"/>
    <xf numFmtId="0" fontId="0" fillId="10" borderId="146" xfId="0" applyFill="1" applyBorder="1" applyAlignment="1">
      <alignment horizontal="right"/>
    </xf>
    <xf numFmtId="0" fontId="0" fillId="0" borderId="147" xfId="0" applyBorder="1" applyAlignment="1">
      <alignment horizontal="center" vertical="center"/>
    </xf>
    <xf numFmtId="9" fontId="0" fillId="0" borderId="139" xfId="0" applyNumberFormat="1" applyBorder="1" applyAlignment="1">
      <alignment horizontal="center"/>
    </xf>
    <xf numFmtId="0" fontId="17" fillId="20" borderId="139" xfId="6" applyBorder="1" applyAlignment="1" applyProtection="1">
      <alignment horizontal="center"/>
    </xf>
    <xf numFmtId="0" fontId="0" fillId="0" borderId="142" xfId="0" applyBorder="1"/>
    <xf numFmtId="0" fontId="0" fillId="10" borderId="143" xfId="0" applyFill="1" applyBorder="1"/>
    <xf numFmtId="0" fontId="0" fillId="10" borderId="144" xfId="0" applyFill="1" applyBorder="1"/>
    <xf numFmtId="9" fontId="0" fillId="0" borderId="142" xfId="0" applyNumberFormat="1" applyBorder="1" applyAlignment="1">
      <alignment horizontal="center"/>
    </xf>
    <xf numFmtId="0" fontId="0" fillId="10" borderId="137" xfId="0" applyFill="1" applyBorder="1" applyAlignment="1">
      <alignment horizontal="right"/>
    </xf>
    <xf numFmtId="0" fontId="0" fillId="0" borderId="138" xfId="0" quotePrefix="1" applyBorder="1" applyAlignment="1">
      <alignment horizontal="center" vertical="center"/>
    </xf>
    <xf numFmtId="0" fontId="0" fillId="0" borderId="139" xfId="0" applyBorder="1" applyAlignment="1">
      <alignment horizontal="center"/>
    </xf>
    <xf numFmtId="0" fontId="0" fillId="10" borderId="148" xfId="0" applyFill="1" applyBorder="1" applyAlignment="1">
      <alignment horizontal="right"/>
    </xf>
    <xf numFmtId="0" fontId="0" fillId="0" borderId="149" xfId="0" applyBorder="1" applyAlignment="1">
      <alignment horizontal="center" vertical="center"/>
    </xf>
    <xf numFmtId="0" fontId="17" fillId="20" borderId="142" xfId="6" applyBorder="1" applyAlignment="1" applyProtection="1">
      <alignment horizontal="center"/>
    </xf>
    <xf numFmtId="0" fontId="0" fillId="10" borderId="128" xfId="0" applyFill="1" applyBorder="1"/>
    <xf numFmtId="0" fontId="0" fillId="0" borderId="130" xfId="0" quotePrefix="1" applyBorder="1" applyAlignment="1">
      <alignment horizontal="center" vertical="center"/>
    </xf>
    <xf numFmtId="0" fontId="12" fillId="14" borderId="150" xfId="3" applyFont="1" applyBorder="1" applyAlignment="1" applyProtection="1">
      <alignment horizontal="right" vertical="center"/>
      <protection locked="0"/>
    </xf>
    <xf numFmtId="0" fontId="8" fillId="13" borderId="151" xfId="1" applyBorder="1" applyProtection="1"/>
    <xf numFmtId="0" fontId="12" fillId="17" borderId="38" xfId="4" applyBorder="1" applyProtection="1">
      <protection locked="0"/>
    </xf>
    <xf numFmtId="0" fontId="12" fillId="17" borderId="39" xfId="4" applyBorder="1" applyProtection="1">
      <protection locked="0"/>
    </xf>
    <xf numFmtId="0" fontId="0" fillId="0" borderId="152" xfId="0" applyBorder="1"/>
    <xf numFmtId="0" fontId="0" fillId="0" borderId="153" xfId="0" applyBorder="1"/>
    <xf numFmtId="0" fontId="37" fillId="13" borderId="31" xfId="1" applyFont="1" applyAlignment="1" applyProtection="1">
      <alignment horizontal="center" vertical="center"/>
    </xf>
    <xf numFmtId="0" fontId="0" fillId="0" borderId="154" xfId="0" applyBorder="1"/>
    <xf numFmtId="0" fontId="0" fillId="0" borderId="155" xfId="0" applyBorder="1"/>
    <xf numFmtId="0" fontId="33" fillId="11" borderId="43" xfId="0" applyFont="1" applyFill="1" applyBorder="1" applyAlignment="1">
      <alignment horizontal="center" vertical="center"/>
    </xf>
    <xf numFmtId="0" fontId="33" fillId="11" borderId="44" xfId="0" applyFont="1" applyFill="1" applyBorder="1" applyAlignment="1">
      <alignment horizontal="center" vertical="center"/>
    </xf>
    <xf numFmtId="0" fontId="33" fillId="11" borderId="45" xfId="0" applyFont="1" applyFill="1" applyBorder="1" applyAlignment="1">
      <alignment horizontal="center" vertical="center"/>
    </xf>
    <xf numFmtId="0" fontId="23" fillId="20" borderId="57" xfId="6" applyFont="1" applyBorder="1" applyAlignment="1" applyProtection="1">
      <alignment horizontal="center" vertical="center" wrapText="1"/>
    </xf>
    <xf numFmtId="0" fontId="17" fillId="20" borderId="26" xfId="6" applyBorder="1" applyAlignment="1" applyProtection="1">
      <alignment horizontal="center" vertical="center" wrapText="1"/>
    </xf>
    <xf numFmtId="0" fontId="23" fillId="20" borderId="67" xfId="6" applyFont="1" applyBorder="1" applyAlignment="1" applyProtection="1">
      <alignment horizontal="center" vertical="center" wrapText="1"/>
    </xf>
    <xf numFmtId="0" fontId="26" fillId="20" borderId="33" xfId="6" applyFont="1" applyBorder="1" applyAlignment="1" applyProtection="1">
      <alignment horizontal="center" vertical="center" wrapText="1"/>
    </xf>
    <xf numFmtId="0" fontId="23" fillId="20" borderId="66" xfId="6" applyFont="1" applyBorder="1" applyAlignment="1" applyProtection="1">
      <alignment horizontal="center" vertical="center" wrapText="1"/>
    </xf>
    <xf numFmtId="0" fontId="23" fillId="20" borderId="25" xfId="6" applyFont="1" applyBorder="1" applyAlignment="1" applyProtection="1">
      <alignment horizontal="center" vertical="center" wrapText="1"/>
    </xf>
    <xf numFmtId="0" fontId="21" fillId="11" borderId="11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1" fillId="11" borderId="15" xfId="0" applyFont="1" applyFill="1" applyBorder="1" applyAlignment="1">
      <alignment horizontal="center"/>
    </xf>
    <xf numFmtId="0" fontId="33" fillId="11" borderId="17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0" fontId="33" fillId="11" borderId="8" xfId="0" applyFont="1" applyFill="1" applyBorder="1" applyAlignment="1">
      <alignment horizontal="center" vertical="center" wrapText="1"/>
    </xf>
    <xf numFmtId="0" fontId="33" fillId="11" borderId="19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0" fillId="8" borderId="123" xfId="0" applyFont="1" applyFill="1" applyBorder="1" applyAlignment="1">
      <alignment horizontal="center" vertical="center"/>
    </xf>
    <xf numFmtId="0" fontId="10" fillId="8" borderId="124" xfId="0" applyFont="1" applyFill="1" applyBorder="1" applyAlignment="1">
      <alignment horizontal="center" vertical="center"/>
    </xf>
    <xf numFmtId="0" fontId="10" fillId="8" borderId="100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right"/>
    </xf>
    <xf numFmtId="0" fontId="10" fillId="8" borderId="15" xfId="0" applyFont="1" applyFill="1" applyBorder="1" applyAlignment="1">
      <alignment horizontal="right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35" fillId="13" borderId="54" xfId="5" quotePrefix="1" applyFont="1" applyFill="1" applyBorder="1" applyAlignment="1" applyProtection="1">
      <alignment horizontal="center"/>
    </xf>
    <xf numFmtId="0" fontId="35" fillId="13" borderId="55" xfId="5" applyFont="1" applyFill="1" applyBorder="1" applyAlignment="1" applyProtection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0" fontId="0" fillId="19" borderId="6" xfId="0" applyFill="1" applyBorder="1" applyAlignment="1">
      <alignment horizontal="left"/>
    </xf>
    <xf numFmtId="0" fontId="0" fillId="19" borderId="9" xfId="0" applyFill="1" applyBorder="1" applyAlignment="1">
      <alignment horizontal="left"/>
    </xf>
    <xf numFmtId="0" fontId="0" fillId="19" borderId="4" xfId="0" applyFill="1" applyBorder="1" applyAlignment="1">
      <alignment horizontal="left"/>
    </xf>
    <xf numFmtId="0" fontId="0" fillId="19" borderId="0" xfId="0" applyFill="1" applyAlignment="1">
      <alignment horizontal="left"/>
    </xf>
    <xf numFmtId="0" fontId="15" fillId="19" borderId="2" xfId="0" applyFont="1" applyFill="1" applyBorder="1" applyAlignment="1">
      <alignment horizontal="left"/>
    </xf>
    <xf numFmtId="0" fontId="15" fillId="19" borderId="8" xfId="0" applyFont="1" applyFill="1" applyBorder="1" applyAlignment="1">
      <alignment horizontal="left"/>
    </xf>
    <xf numFmtId="0" fontId="19" fillId="19" borderId="4" xfId="5" applyFont="1" applyFill="1" applyBorder="1" applyAlignment="1" applyProtection="1">
      <alignment horizontal="left"/>
    </xf>
    <xf numFmtId="0" fontId="19" fillId="19" borderId="0" xfId="5" applyFont="1" applyFill="1" applyBorder="1" applyAlignment="1" applyProtection="1">
      <alignment horizontal="left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5" fillId="19" borderId="3" xfId="0" applyFont="1" applyFill="1" applyBorder="1" applyAlignment="1">
      <alignment horizontal="left"/>
    </xf>
    <xf numFmtId="1" fontId="0" fillId="14" borderId="57" xfId="3" applyNumberFormat="1" applyFont="1" applyBorder="1" applyAlignment="1" applyProtection="1">
      <alignment horizontal="center" vertical="center"/>
      <protection locked="0"/>
    </xf>
    <xf numFmtId="1" fontId="0" fillId="14" borderId="27" xfId="3" applyNumberFormat="1" applyFont="1" applyBorder="1" applyAlignment="1" applyProtection="1">
      <alignment horizontal="center" vertical="center"/>
      <protection locked="0"/>
    </xf>
    <xf numFmtId="1" fontId="0" fillId="14" borderId="26" xfId="3" applyNumberFormat="1" applyFont="1" applyBorder="1" applyAlignment="1" applyProtection="1">
      <alignment horizontal="center" vertical="center"/>
      <protection locked="0"/>
    </xf>
    <xf numFmtId="1" fontId="0" fillId="14" borderId="3" xfId="3" applyNumberFormat="1" applyFont="1" applyBorder="1" applyAlignment="1" applyProtection="1">
      <alignment horizontal="center" vertical="center"/>
      <protection locked="0"/>
    </xf>
    <xf numFmtId="1" fontId="0" fillId="14" borderId="5" xfId="3" applyNumberFormat="1" applyFont="1" applyBorder="1" applyAlignment="1" applyProtection="1">
      <alignment horizontal="center" vertical="center"/>
      <protection locked="0"/>
    </xf>
    <xf numFmtId="1" fontId="0" fillId="14" borderId="7" xfId="3" applyNumberFormat="1" applyFont="1" applyBorder="1" applyAlignment="1" applyProtection="1">
      <alignment horizontal="center" vertical="center"/>
      <protection locked="0"/>
    </xf>
    <xf numFmtId="0" fontId="0" fillId="24" borderId="2" xfId="0" applyFill="1" applyBorder="1" applyAlignment="1">
      <alignment horizontal="center" vertical="center" wrapText="1"/>
    </xf>
    <xf numFmtId="0" fontId="0" fillId="24" borderId="3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2" borderId="1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0" fillId="0" borderId="156" xfId="0" applyBorder="1" applyAlignment="1">
      <alignment vertical="center"/>
    </xf>
    <xf numFmtId="0" fontId="0" fillId="10" borderId="157" xfId="0" applyFill="1" applyBorder="1" applyAlignment="1">
      <alignment vertical="center"/>
    </xf>
    <xf numFmtId="0" fontId="0" fillId="10" borderId="158" xfId="0" applyFill="1" applyBorder="1" applyAlignment="1">
      <alignment vertical="center"/>
    </xf>
    <xf numFmtId="0" fontId="0" fillId="10" borderId="158" xfId="0" applyFill="1" applyBorder="1" applyAlignment="1">
      <alignment horizontal="right" vertical="center"/>
    </xf>
    <xf numFmtId="0" fontId="0" fillId="0" borderId="159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164" fontId="0" fillId="0" borderId="156" xfId="0" applyNumberFormat="1" applyBorder="1" applyAlignment="1">
      <alignment horizontal="center" vertical="center"/>
    </xf>
    <xf numFmtId="3" fontId="0" fillId="2" borderId="59" xfId="0" applyNumberFormat="1" applyFill="1" applyBorder="1" applyAlignment="1">
      <alignment vertical="center"/>
    </xf>
    <xf numFmtId="0" fontId="0" fillId="19" borderId="0" xfId="0" applyFill="1" applyBorder="1" applyAlignment="1">
      <alignment horizontal="left"/>
    </xf>
  </cellXfs>
  <cellStyles count="10">
    <cellStyle name="Bueno" xfId="9" builtinId="26"/>
    <cellStyle name="Cálculo" xfId="2" builtinId="22"/>
    <cellStyle name="Entrada" xfId="4" builtinId="20"/>
    <cellStyle name="Hipervínculo" xfId="5" builtinId="8"/>
    <cellStyle name="Neutral" xfId="6" builtinId="28"/>
    <cellStyle name="Normal" xfId="0" builtinId="0"/>
    <cellStyle name="Notas" xfId="3" builtinId="10"/>
    <cellStyle name="Salida" xfId="1" builtinId="21"/>
    <cellStyle name="Texto explicativo" xfId="8" builtinId="53"/>
    <cellStyle name="Total" xfId="7" builtinId="25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C1F2A"/>
      <color rgb="FF3160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1C1F2A"/>
                </a:solidFill>
              </a:rPr>
              <a:t>Sentadilla</a:t>
            </a:r>
          </a:p>
        </c:rich>
      </c:tx>
      <c:layout>
        <c:manualLayout>
          <c:xMode val="edge"/>
          <c:yMode val="edge"/>
          <c:x val="0.42151277988889818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(PROGRAMA!$N$23,PROGRAMA!$N$35,PROGRAMA!$N$47,PROGRAMA!$N$55,PROGRAMA!$N$67,PROGRAMA!$N$79,PROGRAMA!$N$87,PROGRAMA!$N$99,PROGRAMA!$N$110,PROGRAMA!$N$118,PROGRAMA!$N$128,PROGRAMA!$N$138,PROGRAMA!$N$142,PROGRAMA!$N$149)</c:f>
              <c:numCache>
                <c:formatCode>#,##0</c:formatCode>
                <c:ptCount val="14"/>
                <c:pt idx="0">
                  <c:v>4640</c:v>
                </c:pt>
                <c:pt idx="1">
                  <c:v>8832</c:v>
                </c:pt>
                <c:pt idx="2">
                  <c:v>7704</c:v>
                </c:pt>
                <c:pt idx="3">
                  <c:v>3924</c:v>
                </c:pt>
                <c:pt idx="4">
                  <c:v>6914</c:v>
                </c:pt>
                <c:pt idx="5">
                  <c:v>6558</c:v>
                </c:pt>
                <c:pt idx="6">
                  <c:v>4144</c:v>
                </c:pt>
                <c:pt idx="7">
                  <c:v>6512</c:v>
                </c:pt>
                <c:pt idx="8">
                  <c:v>3234</c:v>
                </c:pt>
                <c:pt idx="9">
                  <c:v>4026</c:v>
                </c:pt>
                <c:pt idx="10">
                  <c:v>2018</c:v>
                </c:pt>
                <c:pt idx="11">
                  <c:v>2334</c:v>
                </c:pt>
                <c:pt idx="12">
                  <c:v>948</c:v>
                </c:pt>
                <c:pt idx="1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0-4044-AA5B-5AB9EC8F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1683584"/>
        <c:axId val="211705856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(PROGRAMA!$L$23,PROGRAMA!$L$31,PROGRAMA!$L$43,PROGRAMA!$L$55,PROGRAMA!$L$67,PROGRAMA!$L$79,PROGRAMA!$L$87,PROGRAMA!$L$99,PROGRAMA!$L$103,PROGRAMA!$L$118,PROGRAMA!$L$128,PROGRAMA!$L$132,PROGRAMA!$L$142,PROGRAMA!$L$149)</c:f>
              <c:numCache>
                <c:formatCode>General</c:formatCode>
                <c:ptCount val="14"/>
                <c:pt idx="0">
                  <c:v>116</c:v>
                </c:pt>
                <c:pt idx="1">
                  <c:v>126</c:v>
                </c:pt>
                <c:pt idx="2">
                  <c:v>134</c:v>
                </c:pt>
                <c:pt idx="3">
                  <c:v>134</c:v>
                </c:pt>
                <c:pt idx="4">
                  <c:v>143</c:v>
                </c:pt>
                <c:pt idx="5">
                  <c:v>143</c:v>
                </c:pt>
                <c:pt idx="6">
                  <c:v>148</c:v>
                </c:pt>
                <c:pt idx="7">
                  <c:v>148</c:v>
                </c:pt>
                <c:pt idx="8">
                  <c:v>154</c:v>
                </c:pt>
                <c:pt idx="9">
                  <c:v>154</c:v>
                </c:pt>
                <c:pt idx="10">
                  <c:v>158</c:v>
                </c:pt>
                <c:pt idx="11">
                  <c:v>158</c:v>
                </c:pt>
                <c:pt idx="12">
                  <c:v>158</c:v>
                </c:pt>
                <c:pt idx="13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0-4044-AA5B-5AB9EC8F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08928"/>
        <c:axId val="211707392"/>
      </c:lineChart>
      <c:catAx>
        <c:axId val="211683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705856"/>
        <c:crosses val="autoZero"/>
        <c:auto val="1"/>
        <c:lblAlgn val="ctr"/>
        <c:lblOffset val="100"/>
        <c:noMultiLvlLbl val="0"/>
      </c:catAx>
      <c:valAx>
        <c:axId val="2117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683584"/>
        <c:crosses val="autoZero"/>
        <c:crossBetween val="between"/>
      </c:valAx>
      <c:valAx>
        <c:axId val="2117073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708928"/>
        <c:crosses val="max"/>
        <c:crossBetween val="between"/>
      </c:valAx>
      <c:catAx>
        <c:axId val="2117089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11707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1C1F2A"/>
                </a:solidFill>
              </a:rPr>
              <a:t>Press banca</a:t>
            </a:r>
          </a:p>
        </c:rich>
      </c:tx>
      <c:layout>
        <c:manualLayout>
          <c:xMode val="edge"/>
          <c:yMode val="edge"/>
          <c:x val="0.42151275208246031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(PROGRAMA!$N$24,PROGRAMA!$N$37,PROGRAMA!$N$49,PROGRAMA!$N$56,PROGRAMA!$N$69,PROGRAMA!$N$81,PROGRAMA!$N$88,PROGRAMA!$N$101,PROGRAMA!$N$111,PROGRAMA!$N$119,PROGRAMA!$N$126,PROGRAMA!$N$136,PROGRAMA!$N$144,PROGRAMA!$N$150)</c:f>
              <c:numCache>
                <c:formatCode>#,##0</c:formatCode>
                <c:ptCount val="14"/>
                <c:pt idx="0">
                  <c:v>3760</c:v>
                </c:pt>
                <c:pt idx="1">
                  <c:v>4800</c:v>
                </c:pt>
                <c:pt idx="2">
                  <c:v>3816</c:v>
                </c:pt>
                <c:pt idx="3">
                  <c:v>3000</c:v>
                </c:pt>
                <c:pt idx="4">
                  <c:v>3924</c:v>
                </c:pt>
                <c:pt idx="5">
                  <c:v>4578</c:v>
                </c:pt>
                <c:pt idx="6">
                  <c:v>2260</c:v>
                </c:pt>
                <c:pt idx="7">
                  <c:v>2784</c:v>
                </c:pt>
                <c:pt idx="8">
                  <c:v>3712</c:v>
                </c:pt>
                <c:pt idx="9">
                  <c:v>2142</c:v>
                </c:pt>
                <c:pt idx="10">
                  <c:v>1071</c:v>
                </c:pt>
                <c:pt idx="11">
                  <c:v>1071</c:v>
                </c:pt>
                <c:pt idx="12">
                  <c:v>738</c:v>
                </c:pt>
                <c:pt idx="13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C-422D-BE78-E2058DFB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2264064"/>
        <c:axId val="212265600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(PROGRAMA!$L$24,PROGRAMA!$L$37,PROGRAMA!$L$49,PROGRAMA!$L$52,PROGRAMA!$L$69,PROGRAMA!$L$81,PROGRAMA!$L$88,PROGRAMA!$L$101,PROGRAMA!$L$111,PROGRAMA!$L$119,PROGRAMA!$L$126,PROGRAMA!$L$136,PROGRAMA!$L$144,PROGRAMA!$L$150)</c:f>
              <c:numCache>
                <c:formatCode>General</c:formatCode>
                <c:ptCount val="14"/>
                <c:pt idx="0">
                  <c:v>94</c:v>
                </c:pt>
                <c:pt idx="1">
                  <c:v>100</c:v>
                </c:pt>
                <c:pt idx="2">
                  <c:v>106</c:v>
                </c:pt>
                <c:pt idx="3">
                  <c:v>100</c:v>
                </c:pt>
                <c:pt idx="4">
                  <c:v>109</c:v>
                </c:pt>
                <c:pt idx="5">
                  <c:v>109</c:v>
                </c:pt>
                <c:pt idx="6">
                  <c:v>113</c:v>
                </c:pt>
                <c:pt idx="7">
                  <c:v>116</c:v>
                </c:pt>
                <c:pt idx="8">
                  <c:v>116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123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C-422D-BE78-E2058DFB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18208"/>
        <c:axId val="213516672"/>
      </c:lineChart>
      <c:catAx>
        <c:axId val="212264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5600"/>
        <c:crosses val="autoZero"/>
        <c:auto val="1"/>
        <c:lblAlgn val="ctr"/>
        <c:lblOffset val="100"/>
        <c:noMultiLvlLbl val="0"/>
      </c:catAx>
      <c:valAx>
        <c:axId val="2122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264064"/>
        <c:crosses val="autoZero"/>
        <c:crossBetween val="between"/>
      </c:valAx>
      <c:valAx>
        <c:axId val="2135166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18208"/>
        <c:crosses val="max"/>
        <c:crossBetween val="between"/>
      </c:valAx>
      <c:catAx>
        <c:axId val="213518208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51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1C1F2A"/>
                </a:solidFill>
              </a:rPr>
              <a:t>Peso muerto</a:t>
            </a:r>
          </a:p>
        </c:rich>
      </c:tx>
      <c:layout>
        <c:manualLayout>
          <c:xMode val="edge"/>
          <c:yMode val="edge"/>
          <c:x val="0.42151277988889818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(PROGRAMA!$N$20,PROGRAMA!$N$36,PROGRAMA!$N$48,PROGRAMA!$N$53,PROGRAMA!$N$64,PROGRAMA!$N$76,PROGRAMA!$N$85,PROGRAMA!$N$96,PROGRAMA!$N$107,PROGRAMA!$N$116,PROGRAMA!$N$125,PROGRAMA!$N$135,PROGRAMA!$N$146,PROGRAMA!$N$152)</c:f>
              <c:numCache>
                <c:formatCode>#,##0</c:formatCode>
                <c:ptCount val="14"/>
                <c:pt idx="0">
                  <c:v>1968</c:v>
                </c:pt>
                <c:pt idx="1">
                  <c:v>1980</c:v>
                </c:pt>
                <c:pt idx="2">
                  <c:v>1992</c:v>
                </c:pt>
                <c:pt idx="3">
                  <c:v>984</c:v>
                </c:pt>
                <c:pt idx="4">
                  <c:v>1660</c:v>
                </c:pt>
                <c:pt idx="5">
                  <c:v>1700</c:v>
                </c:pt>
                <c:pt idx="6">
                  <c:v>825</c:v>
                </c:pt>
                <c:pt idx="7">
                  <c:v>1376</c:v>
                </c:pt>
                <c:pt idx="8">
                  <c:v>1376</c:v>
                </c:pt>
                <c:pt idx="9">
                  <c:v>680</c:v>
                </c:pt>
                <c:pt idx="10">
                  <c:v>1044</c:v>
                </c:pt>
                <c:pt idx="11">
                  <c:v>1062</c:v>
                </c:pt>
                <c:pt idx="12">
                  <c:v>720</c:v>
                </c:pt>
                <c:pt idx="13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4-4DEA-9FA1-3EF71342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3549056"/>
        <c:axId val="213550592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(PROGRAMA!$L$20,PROGRAMA!$L$36,PROGRAMA!$L$48,PROGRAMA!$L$53,PROGRAMA!$L$64,PROGRAMA!$L$76,PROGRAMA!$L$85,PROGRAMA!$L$96,PROGRAMA!$L$107,PROGRAMA!$L$116,PROGRAMA!$L$125,PROGRAMA!$L$135,PROGRAMA!$L$146,PROGRAMA!$L$152)</c:f>
              <c:numCache>
                <c:formatCode>General</c:formatCode>
                <c:ptCount val="14"/>
                <c:pt idx="0">
                  <c:v>164</c:v>
                </c:pt>
                <c:pt idx="1">
                  <c:v>165</c:v>
                </c:pt>
                <c:pt idx="2">
                  <c:v>166</c:v>
                </c:pt>
                <c:pt idx="3">
                  <c:v>164</c:v>
                </c:pt>
                <c:pt idx="4">
                  <c:v>166</c:v>
                </c:pt>
                <c:pt idx="5">
                  <c:v>170</c:v>
                </c:pt>
                <c:pt idx="6">
                  <c:v>165</c:v>
                </c:pt>
                <c:pt idx="7">
                  <c:v>172</c:v>
                </c:pt>
                <c:pt idx="8">
                  <c:v>172</c:v>
                </c:pt>
                <c:pt idx="9">
                  <c:v>170</c:v>
                </c:pt>
                <c:pt idx="10">
                  <c:v>174</c:v>
                </c:pt>
                <c:pt idx="11">
                  <c:v>177</c:v>
                </c:pt>
                <c:pt idx="12">
                  <c:v>180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4-4DEA-9FA1-3EF71342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62112"/>
        <c:axId val="213552128"/>
      </c:lineChart>
      <c:catAx>
        <c:axId val="213549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50592"/>
        <c:crosses val="autoZero"/>
        <c:auto val="1"/>
        <c:lblAlgn val="ctr"/>
        <c:lblOffset val="100"/>
        <c:noMultiLvlLbl val="0"/>
      </c:catAx>
      <c:valAx>
        <c:axId val="2135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49056"/>
        <c:crosses val="autoZero"/>
        <c:crossBetween val="between"/>
      </c:valAx>
      <c:valAx>
        <c:axId val="2135521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62112"/>
        <c:crosses val="max"/>
        <c:crossBetween val="between"/>
      </c:valAx>
      <c:catAx>
        <c:axId val="213562112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552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1C1F2A"/>
                </a:solidFill>
              </a:rPr>
              <a:t>Dominadas</a:t>
            </a:r>
          </a:p>
        </c:rich>
      </c:tx>
      <c:layout>
        <c:manualLayout>
          <c:xMode val="edge"/>
          <c:yMode val="edge"/>
          <c:x val="0.42151277988889818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(PROGRAMA!$N$22,PROGRAMA!$N$34,PROGRAMA!$N$46,PROGRAMA!$N$51,PROGRAMA!$N$66,PROGRAMA!$N$78,PROGRAMA!$N$83,PROGRAMA!$N$98,PROGRAMA!$N$109,PROGRAMA!$N$114,PROGRAMA!$N$123,PROGRAMA!$N$133,PROGRAMA!$N$148,PROGRAMA!$N$154)</c:f>
              <c:numCache>
                <c:formatCode>#,##0</c:formatCode>
                <c:ptCount val="14"/>
                <c:pt idx="0">
                  <c:v>180</c:v>
                </c:pt>
                <c:pt idx="1">
                  <c:v>270</c:v>
                </c:pt>
                <c:pt idx="2">
                  <c:v>360</c:v>
                </c:pt>
                <c:pt idx="4">
                  <c:v>1800</c:v>
                </c:pt>
                <c:pt idx="5">
                  <c:v>1872</c:v>
                </c:pt>
                <c:pt idx="7">
                  <c:v>1620</c:v>
                </c:pt>
                <c:pt idx="8">
                  <c:v>1665</c:v>
                </c:pt>
                <c:pt idx="10">
                  <c:v>1356</c:v>
                </c:pt>
                <c:pt idx="11">
                  <c:v>1356</c:v>
                </c:pt>
                <c:pt idx="12">
                  <c:v>1053</c:v>
                </c:pt>
                <c:pt idx="13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4-40A1-94EE-0A396FC8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3269120"/>
        <c:axId val="213287296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(PROGRAMA!$L$22,PROGRAMA!$L$34,PROGRAMA!$L$46,PROGRAMA!$A$58,PROGRAMA!$L$66,PROGRAMA!$L$78,PROGRAMA!$A$90,PROGRAMA!$L$98,PROGRAMA!$L$109,PROGRAMA!$A$121,PROGRAMA!$L$123,PROGRAMA!$L$133,PROGRAMA!$L$148,PROGRAMA!$L$154)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10</c:v>
                </c:pt>
                <c:pt idx="5">
                  <c:v>14</c:v>
                </c:pt>
                <c:pt idx="7">
                  <c:v>18</c:v>
                </c:pt>
                <c:pt idx="8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27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4-40A1-94EE-0A396FC8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90368"/>
        <c:axId val="213288832"/>
      </c:lineChart>
      <c:catAx>
        <c:axId val="213269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287296"/>
        <c:crosses val="autoZero"/>
        <c:auto val="1"/>
        <c:lblAlgn val="ctr"/>
        <c:lblOffset val="100"/>
        <c:noMultiLvlLbl val="0"/>
      </c:catAx>
      <c:valAx>
        <c:axId val="2132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269120"/>
        <c:crosses val="autoZero"/>
        <c:crossBetween val="between"/>
      </c:valAx>
      <c:valAx>
        <c:axId val="2132888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290368"/>
        <c:crosses val="max"/>
        <c:crossBetween val="between"/>
      </c:valAx>
      <c:catAx>
        <c:axId val="213290368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28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1C1F2A"/>
                </a:solidFill>
              </a:rPr>
              <a:t>Remo</a:t>
            </a:r>
          </a:p>
        </c:rich>
      </c:tx>
      <c:layout>
        <c:manualLayout>
          <c:xMode val="edge"/>
          <c:yMode val="edge"/>
          <c:x val="0.41887771933646634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(PROGRAMA!$N$18,PROGRAMA!$N$29,PROGRAMA!$N$41,PROGRAMA!$N$57,PROGRAMA!$N$61,PROGRAMA!$N$73,PROGRAMA!$N$89,PROGRAMA!$N$93,PROGRAMA!$N$105,PROGRAMA!$N$120,PROGRAMA!$N$127,PROGRAMA!$N$137,PROGRAMA!$N$145,PROGRAMA!$N$151)</c:f>
              <c:numCache>
                <c:formatCode>#,##0</c:formatCode>
                <c:ptCount val="14"/>
                <c:pt idx="0">
                  <c:v>1120</c:v>
                </c:pt>
                <c:pt idx="1">
                  <c:v>1776</c:v>
                </c:pt>
                <c:pt idx="2">
                  <c:v>1896</c:v>
                </c:pt>
                <c:pt idx="3">
                  <c:v>948</c:v>
                </c:pt>
                <c:pt idx="4">
                  <c:v>1458</c:v>
                </c:pt>
                <c:pt idx="5">
                  <c:v>1512</c:v>
                </c:pt>
                <c:pt idx="6">
                  <c:v>972</c:v>
                </c:pt>
                <c:pt idx="7">
                  <c:v>1305</c:v>
                </c:pt>
                <c:pt idx="8">
                  <c:v>1335</c:v>
                </c:pt>
                <c:pt idx="9">
                  <c:v>840</c:v>
                </c:pt>
                <c:pt idx="10">
                  <c:v>1335</c:v>
                </c:pt>
                <c:pt idx="11">
                  <c:v>1335</c:v>
                </c:pt>
                <c:pt idx="12">
                  <c:v>1092</c:v>
                </c:pt>
                <c:pt idx="13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2-4C59-BC8E-F29B247C1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3317120"/>
        <c:axId val="213318656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(PROGRAMA!$L$18,PROGRAMA!$L$29,PROGRAMA!$L$41,PROGRAMA!$L$57,PROGRAMA!$L$61,PROGRAMA!$L$73,PROGRAMA!$L$89,PROGRAMA!$L$93,PROGRAMA!$L$105,PROGRAMA!$L$120,PROGRAMA!$L$127,PROGRAMA!$L$137,PROGRAMA!$L$145,PROGRAMA!$L$151)</c:f>
              <c:numCache>
                <c:formatCode>General</c:formatCode>
                <c:ptCount val="14"/>
                <c:pt idx="0">
                  <c:v>70</c:v>
                </c:pt>
                <c:pt idx="1">
                  <c:v>74</c:v>
                </c:pt>
                <c:pt idx="2">
                  <c:v>79</c:v>
                </c:pt>
                <c:pt idx="3">
                  <c:v>79</c:v>
                </c:pt>
                <c:pt idx="4">
                  <c:v>81</c:v>
                </c:pt>
                <c:pt idx="5">
                  <c:v>84</c:v>
                </c:pt>
                <c:pt idx="6">
                  <c:v>81</c:v>
                </c:pt>
                <c:pt idx="7">
                  <c:v>87</c:v>
                </c:pt>
                <c:pt idx="8">
                  <c:v>89</c:v>
                </c:pt>
                <c:pt idx="9">
                  <c:v>84</c:v>
                </c:pt>
                <c:pt idx="10">
                  <c:v>89</c:v>
                </c:pt>
                <c:pt idx="11">
                  <c:v>89</c:v>
                </c:pt>
                <c:pt idx="12">
                  <c:v>91</c:v>
                </c:pt>
                <c:pt idx="1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C59-BC8E-F29B247C1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21984"/>
        <c:axId val="213320448"/>
      </c:lineChart>
      <c:catAx>
        <c:axId val="213317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18656"/>
        <c:crosses val="autoZero"/>
        <c:auto val="1"/>
        <c:lblAlgn val="ctr"/>
        <c:lblOffset val="100"/>
        <c:noMultiLvlLbl val="0"/>
      </c:catAx>
      <c:valAx>
        <c:axId val="21331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17120"/>
        <c:crosses val="autoZero"/>
        <c:crossBetween val="between"/>
      </c:valAx>
      <c:valAx>
        <c:axId val="213320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21984"/>
        <c:crosses val="max"/>
        <c:crossBetween val="between"/>
      </c:valAx>
      <c:catAx>
        <c:axId val="2133219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32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1C1F2A"/>
                </a:solidFill>
              </a:rPr>
              <a:t>Press militar</a:t>
            </a:r>
          </a:p>
        </c:rich>
      </c:tx>
      <c:layout>
        <c:manualLayout>
          <c:xMode val="edge"/>
          <c:yMode val="edge"/>
          <c:x val="0.42151277988889818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(PROGRAMA!$N$21,PROGRAMA!$N$33,PROGRAMA!$N$45,PROGRAMA!$N$54,PROGRAMA!$N$65,PROGRAMA!$N$77,PROGRAMA!$N$86,PROGRAMA!$N$97,PROGRAMA!$N$108,PROGRAMA!$N$117,PROGRAMA!$N$130,PROGRAMA!$N$140,PROGRAMA!$N$147,PROGRAMA!$N$153)</c:f>
              <c:numCache>
                <c:formatCode>#,##0</c:formatCode>
                <c:ptCount val="14"/>
                <c:pt idx="0">
                  <c:v>752</c:v>
                </c:pt>
                <c:pt idx="1">
                  <c:v>1176</c:v>
                </c:pt>
                <c:pt idx="2">
                  <c:v>1272</c:v>
                </c:pt>
                <c:pt idx="3">
                  <c:v>636</c:v>
                </c:pt>
                <c:pt idx="4">
                  <c:v>972</c:v>
                </c:pt>
                <c:pt idx="5">
                  <c:v>1008</c:v>
                </c:pt>
                <c:pt idx="6">
                  <c:v>648</c:v>
                </c:pt>
                <c:pt idx="7">
                  <c:v>870</c:v>
                </c:pt>
                <c:pt idx="8">
                  <c:v>900</c:v>
                </c:pt>
                <c:pt idx="9">
                  <c:v>560</c:v>
                </c:pt>
                <c:pt idx="10">
                  <c:v>900</c:v>
                </c:pt>
                <c:pt idx="11">
                  <c:v>900</c:v>
                </c:pt>
                <c:pt idx="12">
                  <c:v>732</c:v>
                </c:pt>
                <c:pt idx="13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D-49EB-8C99-133DCB50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3369216"/>
        <c:axId val="213370752"/>
      </c:barChart>
      <c:lineChart>
        <c:grouping val="standard"/>
        <c:varyColors val="0"/>
        <c:ser>
          <c:idx val="1"/>
          <c:order val="1"/>
          <c:tx>
            <c:v>Intensidad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(PROGRAMA!$L$21,PROGRAMA!$L$33,PROGRAMA!$L$45,PROGRAMA!$L$54,PROGRAMA!$L$65,PROGRAMA!$L$77,PROGRAMA!$L$86,PROGRAMA!$L$97,PROGRAMA!$L$108,PROGRAMA!$L$117,PROGRAMA!$L$130,PROGRAMA!$L$140,PROGRAMA!$L$147,PROGRAMA!$L$153)</c:f>
              <c:numCache>
                <c:formatCode>General</c:formatCode>
                <c:ptCount val="14"/>
                <c:pt idx="0">
                  <c:v>47</c:v>
                </c:pt>
                <c:pt idx="1">
                  <c:v>49</c:v>
                </c:pt>
                <c:pt idx="2">
                  <c:v>53</c:v>
                </c:pt>
                <c:pt idx="3">
                  <c:v>53</c:v>
                </c:pt>
                <c:pt idx="4">
                  <c:v>54</c:v>
                </c:pt>
                <c:pt idx="5">
                  <c:v>56</c:v>
                </c:pt>
                <c:pt idx="6">
                  <c:v>54</c:v>
                </c:pt>
                <c:pt idx="7">
                  <c:v>58</c:v>
                </c:pt>
                <c:pt idx="8">
                  <c:v>60</c:v>
                </c:pt>
                <c:pt idx="9">
                  <c:v>56</c:v>
                </c:pt>
                <c:pt idx="10">
                  <c:v>60</c:v>
                </c:pt>
                <c:pt idx="11">
                  <c:v>60</c:v>
                </c:pt>
                <c:pt idx="12">
                  <c:v>61</c:v>
                </c:pt>
                <c:pt idx="1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D-49EB-8C99-133DCB50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74080"/>
        <c:axId val="213372288"/>
      </c:lineChart>
      <c:catAx>
        <c:axId val="213369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70752"/>
        <c:crosses val="autoZero"/>
        <c:auto val="1"/>
        <c:lblAlgn val="ctr"/>
        <c:lblOffset val="100"/>
        <c:noMultiLvlLbl val="0"/>
      </c:catAx>
      <c:valAx>
        <c:axId val="21337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69216"/>
        <c:crosses val="autoZero"/>
        <c:crossBetween val="between"/>
      </c:valAx>
      <c:valAx>
        <c:axId val="2133722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374080"/>
        <c:crosses val="max"/>
        <c:crossBetween val="between"/>
      </c:valAx>
      <c:catAx>
        <c:axId val="213374080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372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1C1F2A"/>
                </a:solidFill>
              </a:rPr>
              <a:t>Hip thrust</a:t>
            </a:r>
          </a:p>
        </c:rich>
      </c:tx>
      <c:layout>
        <c:manualLayout>
          <c:xMode val="edge"/>
          <c:yMode val="edge"/>
          <c:x val="0.42151277988889818"/>
          <c:y val="2.339182004629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Volumen día suave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(PROGRAMA!$M$19,PROGRAMA!$M$30,PROGRAMA!$M$42,PROGRAMA!$M$58,PROGRAMA!$M$62,PROGRAMA!$M$74,PROGRAMA!$M$90,PROGRAMA!$M$94,PROGRAMA!$M$106,PROGRAMA!$M$121,PROGRAMA!$M$124,PROGRAMA!$M$134,PROGRAMA!$A$148)</c:f>
              <c:numCache>
                <c:formatCode>#,##0</c:formatCode>
                <c:ptCount val="13"/>
                <c:pt idx="0">
                  <c:v>4392</c:v>
                </c:pt>
                <c:pt idx="1">
                  <c:v>4392</c:v>
                </c:pt>
                <c:pt idx="2">
                  <c:v>4416</c:v>
                </c:pt>
                <c:pt idx="3">
                  <c:v>4392</c:v>
                </c:pt>
                <c:pt idx="4">
                  <c:v>3760</c:v>
                </c:pt>
                <c:pt idx="5">
                  <c:v>3760</c:v>
                </c:pt>
                <c:pt idx="6">
                  <c:v>3680</c:v>
                </c:pt>
                <c:pt idx="7">
                  <c:v>3376</c:v>
                </c:pt>
                <c:pt idx="8">
                  <c:v>3376</c:v>
                </c:pt>
                <c:pt idx="9">
                  <c:v>3152</c:v>
                </c:pt>
                <c:pt idx="10">
                  <c:v>2700</c:v>
                </c:pt>
                <c:pt idx="11">
                  <c:v>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D34-909A-63652BE30B7C}"/>
            </c:ext>
          </c:extLst>
        </c:ser>
        <c:ser>
          <c:idx val="2"/>
          <c:order val="2"/>
          <c:tx>
            <c:v>Volumen día pesado</c:v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(PROGRAMA!$M$26,PROGRAMA!$M$32,PROGRAMA!$M$44,PROGRAMA!$A$58,PROGRAMA!$M$68,PROGRAMA!$M$80,PROGRAMA!$A$90,PROGRAMA!$M$100,PROGRAMA!$M$113,PROGRAMA!$A$121,PROGRAMA!$M$129,PROGRAMA!$M$139,PROGRAMA!$M$143)</c:f>
              <c:numCache>
                <c:formatCode>#,##0</c:formatCode>
                <c:ptCount val="13"/>
                <c:pt idx="0">
                  <c:v>3008</c:v>
                </c:pt>
                <c:pt idx="1">
                  <c:v>3152</c:v>
                </c:pt>
                <c:pt idx="2">
                  <c:v>3376</c:v>
                </c:pt>
                <c:pt idx="4">
                  <c:v>2700</c:v>
                </c:pt>
                <c:pt idx="5">
                  <c:v>2700</c:v>
                </c:pt>
                <c:pt idx="7">
                  <c:v>2330</c:v>
                </c:pt>
                <c:pt idx="8">
                  <c:v>2390</c:v>
                </c:pt>
                <c:pt idx="10">
                  <c:v>1912</c:v>
                </c:pt>
                <c:pt idx="11">
                  <c:v>1952</c:v>
                </c:pt>
                <c:pt idx="12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7-4D34-909A-63652BE30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79424"/>
        <c:axId val="213481344"/>
      </c:barChart>
      <c:lineChart>
        <c:grouping val="standard"/>
        <c:varyColors val="0"/>
        <c:ser>
          <c:idx val="1"/>
          <c:order val="1"/>
          <c:tx>
            <c:v>Intensidad día pesado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(PROGRAMA!$L$26,PROGRAMA!$L$32,PROGRAMA!$L$44,PROGRAMA!$A$58,PROGRAMA!$L$68,PROGRAMA!$L$80,PROGRAMA!$A$90,PROGRAMA!$L$100,PROGRAMA!$L$113,PROGRAMA!$A$121,PROGRAMA!$L$129,PROGRAMA!$L$139,PROGRAMA!$L$143)</c:f>
              <c:numCache>
                <c:formatCode>General</c:formatCode>
                <c:ptCount val="13"/>
                <c:pt idx="0">
                  <c:v>188</c:v>
                </c:pt>
                <c:pt idx="1">
                  <c:v>197</c:v>
                </c:pt>
                <c:pt idx="2">
                  <c:v>211</c:v>
                </c:pt>
                <c:pt idx="4">
                  <c:v>225</c:v>
                </c:pt>
                <c:pt idx="5">
                  <c:v>225</c:v>
                </c:pt>
                <c:pt idx="7">
                  <c:v>233</c:v>
                </c:pt>
                <c:pt idx="8">
                  <c:v>239</c:v>
                </c:pt>
                <c:pt idx="10">
                  <c:v>239</c:v>
                </c:pt>
                <c:pt idx="11">
                  <c:v>244</c:v>
                </c:pt>
                <c:pt idx="12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7-4D34-909A-63652BE30B7C}"/>
            </c:ext>
          </c:extLst>
        </c:ser>
        <c:ser>
          <c:idx val="3"/>
          <c:order val="3"/>
          <c:tx>
            <c:v>Intensidad día suave</c:v>
          </c:tx>
          <c:spPr>
            <a:ln w="15875" cap="rnd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val>
            <c:numRef>
              <c:f>(PROGRAMA!$L$19,PROGRAMA!$L$30,PROGRAMA!$L$42,PROGRAMA!$L$58,PROGRAMA!$L$62,PROGRAMA!$L$74,PROGRAMA!$L$90,PROGRAMA!$L$94,PROGRAMA!$L$106,PROGRAMA!$L$121,PROGRAMA!$L$124,PROGRAMA!$L$134,PROGRAMA!$A$143)</c:f>
              <c:numCache>
                <c:formatCode>General</c:formatCode>
                <c:ptCount val="13"/>
                <c:pt idx="0">
                  <c:v>183</c:v>
                </c:pt>
                <c:pt idx="1">
                  <c:v>183</c:v>
                </c:pt>
                <c:pt idx="2">
                  <c:v>184</c:v>
                </c:pt>
                <c:pt idx="3">
                  <c:v>183</c:v>
                </c:pt>
                <c:pt idx="4">
                  <c:v>188</c:v>
                </c:pt>
                <c:pt idx="5">
                  <c:v>188</c:v>
                </c:pt>
                <c:pt idx="6">
                  <c:v>184</c:v>
                </c:pt>
                <c:pt idx="7">
                  <c:v>211</c:v>
                </c:pt>
                <c:pt idx="8">
                  <c:v>211</c:v>
                </c:pt>
                <c:pt idx="9">
                  <c:v>197</c:v>
                </c:pt>
                <c:pt idx="10">
                  <c:v>225</c:v>
                </c:pt>
                <c:pt idx="11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7-4D34-909A-63652BE30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88768"/>
        <c:axId val="213482880"/>
      </c:lineChart>
      <c:catAx>
        <c:axId val="213479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481344"/>
        <c:crosses val="autoZero"/>
        <c:auto val="1"/>
        <c:lblAlgn val="ctr"/>
        <c:lblOffset val="100"/>
        <c:noMultiLvlLbl val="0"/>
      </c:catAx>
      <c:valAx>
        <c:axId val="21348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1C1F2A">
                  <a:alpha val="40000"/>
                </a:srgb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479424"/>
        <c:crosses val="autoZero"/>
        <c:crossBetween val="between"/>
      </c:valAx>
      <c:valAx>
        <c:axId val="2134828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488768"/>
        <c:crosses val="max"/>
        <c:crossBetween val="between"/>
      </c:valAx>
      <c:catAx>
        <c:axId val="213488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213482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path path="rect">
        <a:fillToRect l="100000" t="100000"/>
      </a:path>
    </a:gradFill>
    <a:ln w="9525" cap="flat" cmpd="sng" algn="ctr">
      <a:solidFill>
        <a:srgbClr val="1C1F2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Estado de recuperación percibida</a:t>
            </a:r>
            <a:r>
              <a:rPr lang="en-US" sz="1600" b="1" baseline="0"/>
              <a:t> (PRS)</a:t>
            </a:r>
            <a:endParaRPr lang="en-US" sz="1600" b="1"/>
          </a:p>
        </c:rich>
      </c:tx>
      <c:layout>
        <c:manualLayout>
          <c:xMode val="edge"/>
          <c:yMode val="edge"/>
          <c:x val="0.36473627468429271"/>
          <c:y val="2.7491408934707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PROGRAMA!$AA$15</c:f>
              <c:strCache>
                <c:ptCount val="1"/>
                <c:pt idx="0">
                  <c:v>RPR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srgbClr val="1C1F2A">
                  <a:alpha val="40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srgbClr val="1C1F2A">
                    <a:alpha val="40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>
                <a:outerShdw blurRad="50800" dist="38100" dir="2700000" algn="tl" rotWithShape="0">
                  <a:srgbClr val="1C1F2A">
                    <a:alpha val="40000"/>
                  </a:srgbClr>
                </a:outerShdw>
              </a:effectLst>
            </c:spPr>
            <c:trendlineType val="linear"/>
            <c:dispRSqr val="0"/>
            <c:dispEq val="0"/>
          </c:trendline>
          <c:yVal>
            <c:numRef>
              <c:f>PROGRAMA!$AA$16:$AA$154</c:f>
              <c:numCache>
                <c:formatCode>0</c:formatCode>
                <c:ptCount val="13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92-4F3C-8C91-8B26CBD1931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48754464"/>
        <c:axId val="448763584"/>
      </c:scatterChart>
      <c:valAx>
        <c:axId val="448754464"/>
        <c:scaling>
          <c:orientation val="minMax"/>
          <c:max val="203"/>
          <c:min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000" b="1" i="0" u="none" strike="noStrike" baseline="0">
                    <a:effectLst/>
                  </a:rPr>
                  <a:t>→ </a:t>
                </a:r>
                <a:r>
                  <a:rPr lang="es-ES" b="1"/>
                  <a:t>Sesiones </a:t>
                </a:r>
                <a:r>
                  <a:rPr lang="es-ES" sz="1000" b="1" i="0" u="none" strike="noStrike" baseline="0">
                    <a:effectLst/>
                  </a:rPr>
                  <a:t>→</a:t>
                </a:r>
                <a:r>
                  <a:rPr lang="es-ES" b="1"/>
                  <a:t> </a:t>
                </a:r>
              </a:p>
            </c:rich>
          </c:tx>
          <c:layout>
            <c:manualLayout>
              <c:xMode val="edge"/>
              <c:yMode val="edge"/>
              <c:x val="0.47621932683200252"/>
              <c:y val="0.902840598533430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majorTickMark val="none"/>
        <c:minorTickMark val="none"/>
        <c:tickLblPos val="nextTo"/>
        <c:crossAx val="448763584"/>
        <c:crosses val="autoZero"/>
        <c:crossBetween val="midCat"/>
      </c:valAx>
      <c:valAx>
        <c:axId val="448763584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75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Índice</a:t>
            </a:r>
            <a:r>
              <a:rPr lang="en-US" sz="1600" b="1" baseline="0"/>
              <a:t> de esfuerzo percibido de la sesión (sRPE)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PROGRAMA!$AB$15</c:f>
              <c:strCache>
                <c:ptCount val="1"/>
                <c:pt idx="0">
                  <c:v>sRPE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50800" dist="38100" dir="2700000" algn="tl" rotWithShape="0">
                <a:srgbClr val="1C1F2A">
                  <a:alpha val="40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srgbClr val="1C1F2A">
                    <a:alpha val="40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>
                <a:outerShdw blurRad="50800" dist="38100" dir="2700000" algn="tl" rotWithShape="0">
                  <a:srgbClr val="1C1F2A">
                    <a:alpha val="40000"/>
                  </a:srgbClr>
                </a:outerShdw>
              </a:effectLst>
            </c:spPr>
            <c:trendlineType val="linear"/>
            <c:dispRSqr val="0"/>
            <c:dispEq val="0"/>
          </c:trendline>
          <c:yVal>
            <c:numRef>
              <c:f>PROGRAMA!$AB$16:$AB$154</c:f>
              <c:numCache>
                <c:formatCode>0</c:formatCode>
                <c:ptCount val="13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BC-4BE6-AAE9-0FAD96B580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48754464"/>
        <c:axId val="448763584"/>
      </c:scatterChart>
      <c:valAx>
        <c:axId val="448754464"/>
        <c:scaling>
          <c:orientation val="minMax"/>
          <c:max val="203"/>
          <c:min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000" b="1" i="0" u="none" strike="noStrike" baseline="0">
                    <a:effectLst/>
                  </a:rPr>
                  <a:t>→ </a:t>
                </a:r>
                <a:r>
                  <a:rPr lang="es-ES" b="1"/>
                  <a:t>Sesiones </a:t>
                </a:r>
                <a:r>
                  <a:rPr lang="es-ES" sz="1000" b="1" i="0" u="none" strike="noStrike" baseline="0">
                    <a:effectLst/>
                  </a:rPr>
                  <a:t>→</a:t>
                </a:r>
                <a:r>
                  <a:rPr lang="es-ES" b="1"/>
                  <a:t> </a:t>
                </a:r>
              </a:p>
            </c:rich>
          </c:tx>
          <c:layout>
            <c:manualLayout>
              <c:xMode val="edge"/>
              <c:yMode val="edge"/>
              <c:x val="0.47621932683200252"/>
              <c:y val="0.902840598533430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majorTickMark val="none"/>
        <c:minorTickMark val="none"/>
        <c:tickLblPos val="nextTo"/>
        <c:crossAx val="448763584"/>
        <c:crosses val="autoZero"/>
        <c:crossBetween val="midCat"/>
      </c:valAx>
      <c:valAx>
        <c:axId val="448763584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75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hyperlink" Target="http://entrenamientointeligente.es/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s://paypal.me/jpablom?country.x=ES&amp;locale.x=es_ES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hyperlink" Target="http://entrenamientointeligente.es/" TargetMode="External"/><Relationship Id="rId4" Type="http://schemas.openxmlformats.org/officeDocument/2006/relationships/image" Target="../media/image8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13" Type="http://schemas.openxmlformats.org/officeDocument/2006/relationships/image" Target="../media/image20.png"/><Relationship Id="rId3" Type="http://schemas.openxmlformats.org/officeDocument/2006/relationships/hyperlink" Target="http://entrenamientointeligente.es/" TargetMode="External"/><Relationship Id="rId7" Type="http://schemas.openxmlformats.org/officeDocument/2006/relationships/image" Target="../media/image14.png"/><Relationship Id="rId12" Type="http://schemas.openxmlformats.org/officeDocument/2006/relationships/image" Target="../media/image19.sv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3.sv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sv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entrenamientointeligente.es/" TargetMode="Externa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2.png"/><Relationship Id="rId3" Type="http://schemas.openxmlformats.org/officeDocument/2006/relationships/image" Target="../media/image23.svg"/><Relationship Id="rId7" Type="http://schemas.openxmlformats.org/officeDocument/2006/relationships/image" Target="../media/image26.png"/><Relationship Id="rId12" Type="http://schemas.openxmlformats.org/officeDocument/2006/relationships/hyperlink" Target="http://entrenamientointeligente.es/" TargetMode="External"/><Relationship Id="rId2" Type="http://schemas.openxmlformats.org/officeDocument/2006/relationships/image" Target="../media/image22.png"/><Relationship Id="rId1" Type="http://schemas.openxmlformats.org/officeDocument/2006/relationships/chart" Target="../charts/chart8.xml"/><Relationship Id="rId6" Type="http://schemas.openxmlformats.org/officeDocument/2006/relationships/chart" Target="../charts/chart9.xml"/><Relationship Id="rId11" Type="http://schemas.openxmlformats.org/officeDocument/2006/relationships/image" Target="../media/image29.png"/><Relationship Id="rId5" Type="http://schemas.openxmlformats.org/officeDocument/2006/relationships/image" Target="../media/image25.svg"/><Relationship Id="rId10" Type="http://schemas.microsoft.com/office/2017/06/relationships/model3d" Target="../media/model3d1.glb"/><Relationship Id="rId4" Type="http://schemas.openxmlformats.org/officeDocument/2006/relationships/image" Target="../media/image24.png"/><Relationship Id="rId9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g"/><Relationship Id="rId2" Type="http://schemas.openxmlformats.org/officeDocument/2006/relationships/image" Target="../media/image2.png"/><Relationship Id="rId1" Type="http://schemas.openxmlformats.org/officeDocument/2006/relationships/hyperlink" Target="http://entrenamientointeligente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20</xdr:col>
      <xdr:colOff>752475</xdr:colOff>
      <xdr:row>48</xdr:row>
      <xdr:rowOff>0</xdr:rowOff>
    </xdr:to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0"/>
          <a:ext cx="15992475" cy="91440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3200" b="1" u="sng">
              <a:solidFill>
                <a:srgbClr val="316094"/>
              </a:solidFill>
            </a:rPr>
            <a:t>INTRODUCCIÓN</a:t>
          </a:r>
          <a:endParaRPr lang="es-ES" sz="1100" b="0">
            <a:solidFill>
              <a:srgbClr val="1C1F2A"/>
            </a:solidFill>
          </a:endParaRPr>
        </a:p>
        <a:p>
          <a:pPr algn="l"/>
          <a:endParaRPr lang="es-ES" sz="1200" b="0">
            <a:solidFill>
              <a:srgbClr val="1C1F2A"/>
            </a:solidFill>
          </a:endParaRPr>
        </a:p>
        <a:p>
          <a:pPr algn="l"/>
          <a:r>
            <a:rPr lang="es-ES" sz="1200" b="0">
              <a:solidFill>
                <a:srgbClr val="1C1F2A"/>
              </a:solidFill>
            </a:rPr>
            <a:t>&gt;</a:t>
          </a:r>
          <a:r>
            <a:rPr lang="es-ES" sz="1200" b="0" baseline="0">
              <a:solidFill>
                <a:srgbClr val="1C1F2A"/>
              </a:solidFill>
            </a:rPr>
            <a:t> </a:t>
          </a:r>
          <a:r>
            <a:rPr lang="es-ES" sz="1200" b="0">
              <a:solidFill>
                <a:srgbClr val="1C1F2A"/>
              </a:solidFill>
            </a:rPr>
            <a:t>Esta</a:t>
          </a:r>
          <a:r>
            <a:rPr lang="es-ES" sz="1200" b="0" baseline="0">
              <a:solidFill>
                <a:srgbClr val="1C1F2A"/>
              </a:solidFill>
            </a:rPr>
            <a:t> programación está pensada para deportistas de fuerza de </a:t>
          </a:r>
          <a:r>
            <a:rPr lang="es-ES" sz="1200" b="0" u="none" baseline="0">
              <a:solidFill>
                <a:srgbClr val="1C1F2A"/>
              </a:solidFill>
            </a:rPr>
            <a:t>nivel intermedio </a:t>
          </a:r>
          <a:r>
            <a:rPr lang="es-ES" sz="1200" b="0" baseline="0">
              <a:solidFill>
                <a:srgbClr val="1C1F2A"/>
              </a:solidFill>
            </a:rPr>
            <a:t>que deseen mejorar su </a:t>
          </a:r>
          <a:r>
            <a:rPr lang="es-ES" sz="1200" b="1" baseline="0">
              <a:solidFill>
                <a:srgbClr val="1C1F2A"/>
              </a:solidFill>
            </a:rPr>
            <a:t>fuerza e hipertrofia</a:t>
          </a:r>
          <a:r>
            <a:rPr lang="es-ES" sz="1200" b="0" baseline="0">
              <a:solidFill>
                <a:srgbClr val="1C1F2A"/>
              </a:solidFill>
            </a:rPr>
            <a:t>,</a:t>
          </a:r>
          <a:r>
            <a:rPr lang="es-ES" sz="1200" b="1" baseline="0">
              <a:solidFill>
                <a:srgbClr val="1C1F2A"/>
              </a:solidFill>
            </a:rPr>
            <a:t> </a:t>
          </a:r>
          <a:r>
            <a:rPr lang="es-ES" sz="1200" b="0" baseline="0">
              <a:solidFill>
                <a:srgbClr val="1C1F2A"/>
              </a:solidFill>
            </a:rPr>
            <a:t>centrándose más en el desarrollo de la primera.</a:t>
          </a:r>
          <a:endParaRPr lang="es-ES" sz="1200" b="1" baseline="0">
            <a:solidFill>
              <a:srgbClr val="1C1F2A"/>
            </a:solidFill>
          </a:endParaRPr>
        </a:p>
        <a:p>
          <a:pPr algn="l"/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Si eres principiate, ten en cuenta que es una rutina con una intensidad muy alta y que con rutinas más sencillas podrías progresar más rápido. Si eres </a:t>
          </a:r>
          <a:r>
            <a:rPr lang="es-ES" sz="12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avanzado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esta rutina puede serte útil.</a:t>
          </a:r>
          <a:endParaRPr lang="es-ES" sz="1200">
            <a:effectLst/>
          </a:endParaRP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Para tener una referencia, se considera que una </a:t>
          </a:r>
          <a:r>
            <a:rPr lang="es-ES" sz="1200" b="0" u="none" baseline="0">
              <a:solidFill>
                <a:srgbClr val="1C1F2A"/>
              </a:solidFill>
            </a:rPr>
            <a:t>persona es de </a:t>
          </a:r>
          <a:r>
            <a:rPr lang="es-ES" sz="1200" b="1" u="sng" baseline="0">
              <a:solidFill>
                <a:srgbClr val="1C1F2A"/>
              </a:solidFill>
            </a:rPr>
            <a:t>nivel intermedio</a:t>
          </a:r>
          <a:r>
            <a:rPr lang="es-ES" sz="1200" b="0" u="none" baseline="0">
              <a:solidFill>
                <a:srgbClr val="1C1F2A"/>
              </a:solidFill>
            </a:rPr>
            <a:t> </a:t>
          </a:r>
          <a:r>
            <a:rPr lang="es-ES" sz="1200" b="0" baseline="0">
              <a:solidFill>
                <a:srgbClr val="1C1F2A"/>
              </a:solidFill>
            </a:rPr>
            <a:t>a:</a:t>
          </a:r>
        </a:p>
        <a:p>
          <a:pPr algn="l"/>
          <a:r>
            <a:rPr lang="es-ES" sz="1200" b="0" baseline="0">
              <a:solidFill>
                <a:srgbClr val="1C1F2A"/>
              </a:solidFill>
            </a:rPr>
            <a:t>	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♂</a:t>
          </a:r>
          <a:r>
            <a:rPr lang="es-ES" sz="1200" b="0" baseline="0">
              <a:solidFill>
                <a:srgbClr val="1C1F2A"/>
              </a:solidFill>
            </a:rPr>
            <a:t> </a:t>
          </a:r>
          <a:r>
            <a:rPr lang="es-ES" sz="1200" b="1" u="sng" baseline="0">
              <a:solidFill>
                <a:srgbClr val="1C1F2A"/>
              </a:solidFill>
            </a:rPr>
            <a:t>Hombres</a:t>
          </a:r>
          <a:r>
            <a:rPr lang="es-ES" sz="1200" b="0" baseline="0">
              <a:solidFill>
                <a:srgbClr val="1C1F2A"/>
              </a:solidFill>
            </a:rPr>
            <a:t> que levantan de </a:t>
          </a:r>
          <a:r>
            <a:rPr lang="es-ES" sz="1200" b="0" i="1" baseline="0">
              <a:solidFill>
                <a:srgbClr val="1C1F2A"/>
              </a:solidFill>
            </a:rPr>
            <a:t>1,5 </a:t>
          </a:r>
          <a:r>
            <a:rPr lang="es-ES" sz="1200" b="0" i="0" baseline="0">
              <a:solidFill>
                <a:srgbClr val="1C1F2A"/>
              </a:solidFill>
            </a:rPr>
            <a:t>a</a:t>
          </a:r>
          <a:r>
            <a:rPr lang="es-ES" sz="1200" b="0" i="1" baseline="0">
              <a:solidFill>
                <a:srgbClr val="1C1F2A"/>
              </a:solidFill>
            </a:rPr>
            <a:t> 2,0 </a:t>
          </a:r>
          <a:r>
            <a:rPr lang="es-ES" sz="1200" b="0" i="0" baseline="0">
              <a:solidFill>
                <a:srgbClr val="1C1F2A"/>
              </a:solidFill>
            </a:rPr>
            <a:t>veces</a:t>
          </a:r>
          <a:r>
            <a:rPr lang="es-ES" sz="1200" b="0" baseline="0">
              <a:solidFill>
                <a:srgbClr val="1C1F2A"/>
              </a:solidFill>
            </a:rPr>
            <a:t> su peso corporal en </a:t>
          </a:r>
          <a:r>
            <a:rPr lang="es-ES" sz="1200" b="1" baseline="0">
              <a:solidFill>
                <a:srgbClr val="1C1F2A"/>
              </a:solidFill>
            </a:rPr>
            <a:t>Sentadilla</a:t>
          </a:r>
          <a:r>
            <a:rPr lang="es-ES" sz="1200" b="0" baseline="0">
              <a:solidFill>
                <a:srgbClr val="1C1F2A"/>
              </a:solidFill>
            </a:rPr>
            <a:t>;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es-ES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1,2 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veces en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Banca</a:t>
          </a:r>
          <a:r>
            <a:rPr lang="es-ES" sz="1200" b="0" baseline="0">
              <a:solidFill>
                <a:srgbClr val="1C1F2A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s-ES" sz="1200" b="0" baseline="0">
              <a:solidFill>
                <a:srgbClr val="1C1F2A"/>
              </a:solidFill>
            </a:rPr>
            <a:t>de </a:t>
          </a:r>
          <a:r>
            <a:rPr lang="es-ES" sz="1200" b="0" i="1" baseline="0">
              <a:solidFill>
                <a:srgbClr val="1C1F2A"/>
              </a:solidFill>
            </a:rPr>
            <a:t>1,5 </a:t>
          </a:r>
          <a:r>
            <a:rPr lang="es-ES" sz="1200" b="0" i="0" baseline="0">
              <a:solidFill>
                <a:srgbClr val="1C1F2A"/>
              </a:solidFill>
            </a:rPr>
            <a:t>a</a:t>
          </a:r>
          <a:r>
            <a:rPr lang="es-ES" sz="1200" b="0" i="1" baseline="0">
              <a:solidFill>
                <a:srgbClr val="1C1F2A"/>
              </a:solidFill>
            </a:rPr>
            <a:t> 2,2</a:t>
          </a:r>
          <a:r>
            <a:rPr lang="es-ES" sz="1200" b="0" baseline="0">
              <a:solidFill>
                <a:srgbClr val="1C1F2A"/>
              </a:solidFill>
            </a:rPr>
            <a:t> veces en </a:t>
          </a:r>
          <a:r>
            <a:rPr lang="es-ES" sz="1200" b="1" baseline="0">
              <a:solidFill>
                <a:srgbClr val="1C1F2A"/>
              </a:solidFill>
            </a:rPr>
            <a:t>Peso Muerto</a:t>
          </a:r>
          <a:r>
            <a:rPr lang="es-ES" sz="1200" b="0" baseline="0">
              <a:solidFill>
                <a:srgbClr val="1C1F2A"/>
              </a:solidFill>
            </a:rPr>
            <a:t>; de </a:t>
          </a:r>
          <a:r>
            <a:rPr lang="es-ES" sz="1200" b="0" i="1" baseline="0">
              <a:solidFill>
                <a:srgbClr val="1C1F2A"/>
              </a:solidFill>
            </a:rPr>
            <a:t>1,1</a:t>
          </a:r>
          <a:r>
            <a:rPr lang="es-ES" sz="1200" b="0" baseline="0">
              <a:solidFill>
                <a:srgbClr val="1C1F2A"/>
              </a:solidFill>
            </a:rPr>
            <a:t> a </a:t>
          </a:r>
          <a:r>
            <a:rPr lang="es-ES" sz="1200" b="0" i="1" baseline="0">
              <a:solidFill>
                <a:srgbClr val="1C1F2A"/>
              </a:solidFill>
            </a:rPr>
            <a:t>1,3</a:t>
          </a:r>
          <a:r>
            <a:rPr lang="es-ES" sz="1200" b="0" baseline="0">
              <a:solidFill>
                <a:srgbClr val="1C1F2A"/>
              </a:solidFill>
            </a:rPr>
            <a:t> veces en </a:t>
          </a:r>
          <a:r>
            <a:rPr lang="es-ES" sz="1200" b="1" baseline="0">
              <a:solidFill>
                <a:srgbClr val="1C1F2A"/>
              </a:solidFill>
            </a:rPr>
            <a:t>Dominadas</a:t>
          </a:r>
          <a:r>
            <a:rPr lang="es-ES" sz="1200" b="0" baseline="0">
              <a:solidFill>
                <a:srgbClr val="1C1F2A"/>
              </a:solidFill>
            </a:rPr>
            <a:t> (lastre + peso corporal).</a:t>
          </a:r>
        </a:p>
        <a:p>
          <a:pPr algn="l"/>
          <a:r>
            <a:rPr lang="es-ES" sz="1200" b="0" baseline="0">
              <a:solidFill>
                <a:srgbClr val="1C1F2A"/>
              </a:solidFill>
            </a:rPr>
            <a:t>	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♀</a:t>
          </a:r>
          <a:r>
            <a:rPr lang="es-ES" sz="1200" b="0" baseline="0">
              <a:solidFill>
                <a:srgbClr val="1C1F2A"/>
              </a:solidFill>
            </a:rPr>
            <a:t> </a:t>
          </a:r>
          <a:r>
            <a:rPr lang="es-ES" sz="1200" b="1" u="sng" baseline="0">
              <a:solidFill>
                <a:srgbClr val="1C1F2A"/>
              </a:solidFill>
            </a:rPr>
            <a:t>Mujeres</a:t>
          </a:r>
          <a:r>
            <a:rPr lang="es-ES" sz="1200" b="0" baseline="0">
              <a:solidFill>
                <a:srgbClr val="1C1F2A"/>
              </a:solidFill>
            </a:rPr>
            <a:t> que levantan de </a:t>
          </a:r>
          <a:r>
            <a:rPr lang="es-ES" sz="1200" b="0" i="1" baseline="0">
              <a:solidFill>
                <a:srgbClr val="1C1F2A"/>
              </a:solidFill>
            </a:rPr>
            <a:t>0,8 </a:t>
          </a:r>
          <a:r>
            <a:rPr lang="es-ES" sz="1200" b="0" i="0" baseline="0">
              <a:solidFill>
                <a:srgbClr val="1C1F2A"/>
              </a:solidFill>
            </a:rPr>
            <a:t>a</a:t>
          </a:r>
          <a:r>
            <a:rPr lang="es-ES" sz="1200" b="0" i="1" baseline="0">
              <a:solidFill>
                <a:srgbClr val="1C1F2A"/>
              </a:solidFill>
            </a:rPr>
            <a:t> 1,3</a:t>
          </a:r>
          <a:r>
            <a:rPr lang="es-ES" sz="1200" b="0" baseline="0">
              <a:solidFill>
                <a:srgbClr val="1C1F2A"/>
              </a:solidFill>
            </a:rPr>
            <a:t> veces su peso corporal en </a:t>
          </a:r>
          <a:r>
            <a:rPr lang="es-ES" sz="1200" b="1" baseline="0">
              <a:solidFill>
                <a:srgbClr val="1C1F2A"/>
              </a:solidFill>
            </a:rPr>
            <a:t>Sentadilla</a:t>
          </a:r>
          <a:r>
            <a:rPr lang="es-ES" sz="1200" b="0" baseline="0">
              <a:solidFill>
                <a:srgbClr val="1C1F2A"/>
              </a:solidFill>
            </a:rPr>
            <a:t>;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es-ES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0,5 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s-ES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1,0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veces en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Banca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s-ES" sz="1200" b="0" baseline="0">
              <a:solidFill>
                <a:srgbClr val="1C1F2A"/>
              </a:solidFill>
            </a:rPr>
            <a:t>de </a:t>
          </a:r>
          <a:r>
            <a:rPr lang="es-ES" sz="1200" b="0" i="1" baseline="0">
              <a:solidFill>
                <a:srgbClr val="1C1F2A"/>
              </a:solidFill>
            </a:rPr>
            <a:t>1,0 </a:t>
          </a:r>
          <a:r>
            <a:rPr lang="es-ES" sz="1200" b="0" i="0" baseline="0">
              <a:solidFill>
                <a:srgbClr val="1C1F2A"/>
              </a:solidFill>
            </a:rPr>
            <a:t>a</a:t>
          </a:r>
          <a:r>
            <a:rPr lang="es-ES" sz="1200" b="0" i="1" baseline="0">
              <a:solidFill>
                <a:srgbClr val="1C1F2A"/>
              </a:solidFill>
            </a:rPr>
            <a:t> 1,5</a:t>
          </a:r>
          <a:r>
            <a:rPr lang="es-ES" sz="1200" b="0" baseline="0">
              <a:solidFill>
                <a:srgbClr val="1C1F2A"/>
              </a:solidFill>
            </a:rPr>
            <a:t> veces en </a:t>
          </a:r>
          <a:r>
            <a:rPr lang="es-ES" sz="1200" b="1" baseline="0">
              <a:solidFill>
                <a:srgbClr val="1C1F2A"/>
              </a:solidFill>
            </a:rPr>
            <a:t>Peso Muerto</a:t>
          </a:r>
          <a:r>
            <a:rPr lang="es-ES" sz="1200" b="0" baseline="0">
              <a:solidFill>
                <a:srgbClr val="1C1F2A"/>
              </a:solidFill>
            </a:rPr>
            <a:t>; de </a:t>
          </a:r>
          <a:r>
            <a:rPr lang="es-ES" sz="1200" b="0" i="1" baseline="0">
              <a:solidFill>
                <a:srgbClr val="1C1F2A"/>
              </a:solidFill>
            </a:rPr>
            <a:t>0,6</a:t>
          </a:r>
          <a:r>
            <a:rPr lang="es-ES" sz="1200" b="0" baseline="0">
              <a:solidFill>
                <a:srgbClr val="1C1F2A"/>
              </a:solidFill>
            </a:rPr>
            <a:t> a </a:t>
          </a:r>
          <a:r>
            <a:rPr lang="es-ES" sz="1200" b="0" i="1" baseline="0">
              <a:solidFill>
                <a:srgbClr val="1C1F2A"/>
              </a:solidFill>
            </a:rPr>
            <a:t>1,0</a:t>
          </a:r>
          <a:r>
            <a:rPr lang="es-ES" sz="1200" b="0" baseline="0">
              <a:solidFill>
                <a:srgbClr val="1C1F2A"/>
              </a:solidFill>
            </a:rPr>
            <a:t> veces en </a:t>
          </a:r>
          <a:r>
            <a:rPr lang="es-ES" sz="1200" b="1" baseline="0">
              <a:solidFill>
                <a:srgbClr val="1C1F2A"/>
              </a:solidFill>
            </a:rPr>
            <a:t>Dominadas</a:t>
          </a:r>
          <a:r>
            <a:rPr lang="es-ES" sz="1200" b="0" baseline="0">
              <a:solidFill>
                <a:srgbClr val="1C1F2A"/>
              </a:solidFill>
            </a:rPr>
            <a:t> (lastre + peso corporal).</a:t>
          </a:r>
        </a:p>
        <a:p>
          <a:pPr algn="l"/>
          <a:endParaRPr lang="es-ES" sz="1200" b="0" baseline="0">
            <a:solidFill>
              <a:srgbClr val="1C1F2A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Utilizaremos la hoja </a:t>
          </a:r>
          <a:r>
            <a:rPr lang="es-ES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Calculadora RM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nuestras marcas personales actuales(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Peso (kg)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Repeticiones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el número mínimo de incrimento de peso del que dispones (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Redondeo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y el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Peso corporal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Un redondeo de 2,5 significa que tienes un par de discos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1,25 kg. Para las dominadas no tengas en cuenta tu peso corporal, solo el peso lastrado. Si tu record es a repeticiones sin lastre, introduce un 0 en la celda de Peso.</a:t>
          </a: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En la hoja </a:t>
          </a:r>
          <a:r>
            <a:rPr lang="es-ES" sz="1200" b="1" baseline="0">
              <a:solidFill>
                <a:srgbClr val="1C1F2A"/>
              </a:solidFill>
            </a:rPr>
            <a:t>PROGRAMA</a:t>
          </a:r>
          <a:r>
            <a:rPr lang="es-ES" sz="1200" b="0" baseline="0">
              <a:solidFill>
                <a:srgbClr val="1C1F2A"/>
              </a:solidFill>
            </a:rPr>
            <a:t> seleccionaremos los </a:t>
          </a:r>
          <a:r>
            <a:rPr lang="es-ES" sz="1200" b="1" u="none" baseline="0">
              <a:solidFill>
                <a:srgbClr val="1C1F2A"/>
              </a:solidFill>
            </a:rPr>
            <a:t>ejercicios básicos</a:t>
          </a:r>
          <a:r>
            <a:rPr lang="es-ES" sz="1200" b="1" baseline="0">
              <a:solidFill>
                <a:srgbClr val="1C1F2A"/>
              </a:solidFill>
            </a:rPr>
            <a:t> </a:t>
          </a:r>
          <a:r>
            <a:rPr lang="es-ES" sz="1200" b="0" baseline="0">
              <a:solidFill>
                <a:srgbClr val="1C1F2A"/>
              </a:solidFill>
            </a:rPr>
            <a:t>que queremos realizar en los campos naranjas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 sz="1200" b="1" baseline="0">
            <a:solidFill>
              <a:srgbClr val="1C1F2A"/>
            </a:solidFill>
          </a:endParaRP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Es preferible </a:t>
          </a:r>
          <a:r>
            <a:rPr lang="es-ES" sz="1200" b="0" i="1" baseline="0">
              <a:solidFill>
                <a:srgbClr val="1C1F2A"/>
              </a:solidFill>
            </a:rPr>
            <a:t>autoregularse</a:t>
          </a:r>
          <a:r>
            <a:rPr lang="es-ES" sz="1200" b="0" baseline="0">
              <a:solidFill>
                <a:srgbClr val="1C1F2A"/>
              </a:solidFill>
            </a:rPr>
            <a:t> con el RIR en lugar de basarnos puramente en los kg de la carga estimada del %RM, ya que nuestro RM puede variar cada día. Adaptarse a las circunstancias es la clave del éxito. Utilizaremos los pesos como una referencia.</a:t>
          </a: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Diario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anotaremos los datos de las series,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kg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RIR 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</a:t>
          </a:r>
          <a:r>
            <a:rPr lang="es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Nº reps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(en caso de no cumplir con lo estipulado), con el fin de tener una referencia con la que poder hace ajustes en futuras sesiones, si fuesen necesarios</a:t>
          </a:r>
          <a:r>
            <a:rPr lang="es-ES" sz="1200" b="0" baseline="0">
              <a:solidFill>
                <a:srgbClr val="1C1F2A"/>
              </a:solidFill>
            </a:rPr>
            <a:t>. También anotaremos el </a:t>
          </a:r>
          <a:r>
            <a:rPr lang="es-ES" sz="1200" b="1" baseline="0">
              <a:solidFill>
                <a:srgbClr val="1C1F2A"/>
              </a:solidFill>
            </a:rPr>
            <a:t>PRS</a:t>
          </a:r>
          <a:r>
            <a:rPr lang="es-ES" sz="1200" b="0" baseline="0">
              <a:solidFill>
                <a:srgbClr val="1C1F2A"/>
              </a:solidFill>
            </a:rPr>
            <a:t> y el </a:t>
          </a:r>
          <a:r>
            <a:rPr lang="es-ES" sz="1200" b="1" baseline="0">
              <a:solidFill>
                <a:srgbClr val="1C1F2A"/>
              </a:solidFill>
            </a:rPr>
            <a:t>RPE</a:t>
          </a:r>
          <a:r>
            <a:rPr lang="es-ES" sz="1200" b="0" baseline="0">
              <a:solidFill>
                <a:srgbClr val="1C1F2A"/>
              </a:solidFill>
            </a:rPr>
            <a:t> de la sesión para que podamos monitorizar nuestra fatiga y recuperación.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eres intermedio, deberías recalcular los RMs después de cada microciclo o 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mesociclo</a:t>
          </a:r>
          <a:r>
            <a:rPr lang="es-E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Puedes utilizar como referencia la primera serie de la última sesión apuntada en el diario; introduce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peso y las repeticiones realizadas + el RIR de esa serie en la </a:t>
          </a:r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Calculadora RM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eres principiante, deberías recalcular los RMs todos o casi todos los días. Si eres avanzado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probablemente no vas a necesitar hacer ajustes.</a:t>
          </a:r>
          <a:endParaRPr lang="es-ES" sz="1200">
            <a:effectLst/>
          </a:endParaRP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Entre sesiones deberías de dejar </a:t>
          </a:r>
          <a:r>
            <a:rPr lang="es-ES" sz="1200" b="1" baseline="0">
              <a:solidFill>
                <a:srgbClr val="1C1F2A"/>
              </a:solidFill>
            </a:rPr>
            <a:t>un día de descanso como mínimo</a:t>
          </a:r>
          <a:r>
            <a:rPr lang="es-ES" sz="1200" b="0" baseline="0">
              <a:solidFill>
                <a:srgbClr val="1C1F2A"/>
              </a:solidFill>
            </a:rPr>
            <a:t>. Por ejemplo, puedes entrenar </a:t>
          </a:r>
          <a:r>
            <a:rPr lang="es-ES" sz="1200" b="0" i="1" baseline="0">
              <a:solidFill>
                <a:srgbClr val="1C1F2A"/>
              </a:solidFill>
            </a:rPr>
            <a:t>lunes-miércoles-viernes</a:t>
          </a:r>
          <a:r>
            <a:rPr lang="es-ES" sz="1200" b="0" baseline="0">
              <a:solidFill>
                <a:srgbClr val="1C1F2A"/>
              </a:solidFill>
            </a:rPr>
            <a:t> y las semanas de descarga (el último microciclo del mesociclo) </a:t>
          </a:r>
          <a:r>
            <a:rPr lang="es-ES" sz="1200" b="0" i="1" baseline="0">
              <a:solidFill>
                <a:srgbClr val="1C1F2A"/>
              </a:solidFill>
            </a:rPr>
            <a:t>martes-viernes.</a:t>
          </a:r>
        </a:p>
        <a:p>
          <a:pPr algn="l"/>
          <a:endParaRPr lang="es-ES" sz="1200" b="0" baseline="0">
            <a:solidFill>
              <a:srgbClr val="1C1F2A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0" baseline="0">
              <a:solidFill>
                <a:srgbClr val="1C1F2A"/>
              </a:solidFill>
            </a:rPr>
            <a:t>&gt; Para las dominadas , a partir del </a:t>
          </a:r>
          <a:r>
            <a:rPr lang="es-ES" sz="1200" b="0" i="1" baseline="0">
              <a:solidFill>
                <a:srgbClr val="1C1F2A"/>
              </a:solidFill>
            </a:rPr>
            <a:t>mesociclo 2</a:t>
          </a:r>
          <a:r>
            <a:rPr lang="es-ES" sz="1200" b="0" baseline="0">
              <a:solidFill>
                <a:srgbClr val="1C1F2A"/>
              </a:solidFill>
            </a:rPr>
            <a:t>, es posible que la celda de los kg te muestre un error.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 significa que te estás lastrando más de lo debido solo con tu peso corporal. Puedes compensarlo utilizando algún tipo de asistencia o tendrás que hacer modificaciones en la estructura. También puedes realizar las dominadas que puedas sin lastrar teniendo en cuenta el RIR, pero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ten presente que esto supone hacerlas con mayor intensidad desde el principio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no tienes interés en progresar en dominadas,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puedes descartarlas y hacer otro ejercicio de tirón vertical. En el </a:t>
          </a:r>
          <a:r>
            <a:rPr lang="es-ES" sz="12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mesocilo 1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deberás estimar tú cuántas repeticiones realizar.</a:t>
          </a:r>
        </a:p>
        <a:p>
          <a:pPr algn="l"/>
          <a:endParaRPr lang="es-ES" sz="1200" b="0" baseline="0">
            <a:solidFill>
              <a:srgbClr val="1C1F2A"/>
            </a:solidFill>
          </a:endParaRP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En caso de querer testear nuestros 1RMs (cosa que de forma general no recomiendo) es necesario realizar una semana o varios días de </a:t>
          </a:r>
          <a:r>
            <a:rPr lang="es-ES" sz="1200" b="0" i="1" baseline="0">
              <a:solidFill>
                <a:srgbClr val="1C1F2A"/>
              </a:solidFill>
            </a:rPr>
            <a:t>taper</a:t>
          </a:r>
          <a:r>
            <a:rPr lang="es-ES" sz="1200" b="0" baseline="0">
              <a:solidFill>
                <a:srgbClr val="1C1F2A"/>
              </a:solidFill>
            </a:rPr>
            <a:t>. Al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 de la programación te proporciono un ejemplo de cómo hacerlo. </a:t>
          </a:r>
        </a:p>
        <a:p>
          <a:pPr algn="l"/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En caso de no estar interesado en la fuerza máxima, puedes concluir el programa y reiniciarlo después del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mesociclo 2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2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En todo caso, </a:t>
          </a:r>
          <a:r>
            <a:rPr lang="es-ES" sz="12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</a:t>
          </a:r>
          <a:r>
            <a:rPr lang="es-ES" sz="12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ganancias de fuerza se traducen, a la larga, en ganancias de hipertrofia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tenlo en cuenta.</a:t>
          </a:r>
        </a:p>
        <a:p>
          <a:pPr algn="l"/>
          <a:endParaRPr lang="es-ES" sz="1200" b="0" baseline="0">
            <a:solidFill>
              <a:srgbClr val="1C1F2A"/>
            </a:solidFill>
          </a:endParaRPr>
        </a:p>
        <a:p>
          <a:pPr algn="l"/>
          <a:r>
            <a:rPr lang="es-ES" sz="1200" b="0" baseline="0">
              <a:solidFill>
                <a:srgbClr val="1C1F2A"/>
              </a:solidFill>
            </a:rPr>
            <a:t>&gt; Este plan de entrenamiento </a:t>
          </a:r>
          <a:r>
            <a:rPr lang="es-ES" sz="1200" b="0" i="1" u="sng" baseline="0">
              <a:solidFill>
                <a:srgbClr val="1C1F2A"/>
              </a:solidFill>
            </a:rPr>
            <a:t>no es el mejor, ni el peor</a:t>
          </a:r>
          <a:r>
            <a:rPr lang="es-ES" sz="1200" b="0" baseline="0">
              <a:solidFill>
                <a:srgbClr val="1C1F2A"/>
              </a:solidFill>
            </a:rPr>
            <a:t>; es una forma más de hacer las cosas. Para la mayoría de personas será útil, pero siempre es importante </a:t>
          </a:r>
          <a:r>
            <a:rPr lang="es-ES" sz="1200" b="0" i="1" u="sng" baseline="0">
              <a:solidFill>
                <a:srgbClr val="1C1F2A"/>
              </a:solidFill>
            </a:rPr>
            <a:t>individualizar</a:t>
          </a:r>
          <a:r>
            <a:rPr lang="es-ES" sz="1200" b="0" baseline="0">
              <a:solidFill>
                <a:srgbClr val="1C1F2A"/>
              </a:solidFill>
            </a:rPr>
            <a:t> teniendo en cuenta el objetivo y circunstancias personales.</a:t>
          </a:r>
        </a:p>
        <a:p>
          <a:pPr algn="l"/>
          <a:endParaRPr lang="es-ES" sz="1200" b="0" baseline="0">
            <a:solidFill>
              <a:srgbClr val="1C1F2A"/>
            </a:solidFill>
          </a:endParaRPr>
        </a:p>
        <a:p>
          <a:pPr lvl="0" algn="ctr"/>
          <a:r>
            <a:rPr lang="es-ES" sz="1200" b="0" baseline="0">
              <a:solidFill>
                <a:srgbClr val="1C1F2A"/>
              </a:solidFill>
            </a:rPr>
            <a:t>__________</a:t>
          </a:r>
        </a:p>
        <a:p>
          <a:pPr lvl="0" algn="ctr"/>
          <a:endParaRPr lang="es-ES" sz="1200" b="0" baseline="0">
            <a:solidFill>
              <a:srgbClr val="1C1F2A"/>
            </a:solidFill>
          </a:endParaRPr>
        </a:p>
        <a:p>
          <a:pPr lvl="0" algn="ctr"/>
          <a:endParaRPr lang="es-ES" sz="1200" b="0" baseline="0">
            <a:solidFill>
              <a:srgbClr val="1C1F2A"/>
            </a:solidFill>
          </a:endParaRPr>
        </a:p>
        <a:p>
          <a:pPr lvl="0" algn="l"/>
          <a:r>
            <a:rPr lang="es-ES" sz="1400" b="0" baseline="0">
              <a:solidFill>
                <a:srgbClr val="1C1F2A"/>
              </a:solidFill>
            </a:rPr>
            <a:t>		Si te ha servido este programa y te ha ayudado a progresar, puedes contactarme o apoyarme haciéndome una donacion por </a:t>
          </a: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l"/>
          <a:endParaRPr lang="es-ES" sz="1400" b="0" baseline="0">
            <a:solidFill>
              <a:srgbClr val="1C1F2A"/>
            </a:solidFill>
          </a:endParaRPr>
        </a:p>
        <a:p>
          <a:pPr lvl="0" algn="ctr"/>
          <a:endParaRPr lang="es-ES" sz="850" b="0" i="1" baseline="0">
            <a:solidFill>
              <a:srgbClr val="1C1F2A"/>
            </a:solidFill>
          </a:endParaRPr>
        </a:p>
        <a:p>
          <a:pPr lvl="0" algn="ctr"/>
          <a:endParaRPr lang="es-ES" sz="850" b="0" i="1" baseline="0">
            <a:solidFill>
              <a:srgbClr val="1C1F2A"/>
            </a:solidFill>
          </a:endParaRPr>
        </a:p>
        <a:p>
          <a:pPr lvl="0" algn="ctr"/>
          <a:r>
            <a:rPr lang="es-ES" sz="850" b="0" i="1" baseline="0">
              <a:solidFill>
                <a:srgbClr val="1C1F2A"/>
              </a:solidFill>
            </a:rPr>
            <a:t>Para la realización de este plan de entrenamiento he usado la siguiente bibliografía: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5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Badillo, J. J. González, Ribas Senra, J. (2018). Bases de la Programación del Entrenamiento de Fuerza.</a:t>
          </a:r>
          <a:endParaRPr lang="es-ES" sz="850" b="0" i="1" baseline="0">
            <a:solidFill>
              <a:srgbClr val="1C1F2A"/>
            </a:solidFill>
          </a:endParaRPr>
        </a:p>
        <a:p>
          <a:pPr lvl="0" algn="ctr"/>
          <a:r>
            <a:rPr lang="es-ES" sz="850" b="0" i="1" baseline="0">
              <a:solidFill>
                <a:srgbClr val="1C1F2A"/>
              </a:solidFill>
            </a:rPr>
            <a:t>Bompa, Tudor O., Buzzichelli, Carlo A. (2019). Periodización. Teoría y Metodología del Entrenamiento.</a:t>
          </a:r>
        </a:p>
        <a:p>
          <a:pPr lvl="0" algn="ctr"/>
          <a:r>
            <a:rPr lang="es-ES" sz="850" b="0" i="1" baseline="0">
              <a:solidFill>
                <a:srgbClr val="1C1F2A"/>
              </a:solidFill>
            </a:rPr>
            <a:t>Jared W. Coburn, Moh H. Malek. (2021). Manual NSCA. Fundamentos del Entrenamiento Personal.</a:t>
          </a:r>
        </a:p>
        <a:p>
          <a:pPr lvl="0" algn="ctr"/>
          <a:r>
            <a:rPr lang="es-ES" sz="850" b="0" i="1" baseline="0">
              <a:solidFill>
                <a:srgbClr val="1C1F2A"/>
              </a:solidFill>
            </a:rPr>
            <a:t>Marchante, David (2015). Entrenamiento Eficiente. Explota tus Límites.</a:t>
          </a:r>
        </a:p>
        <a:p>
          <a:pPr lvl="0" algn="ctr"/>
          <a:endParaRPr lang="es-ES" sz="1000" b="0" i="1" baseline="0">
            <a:solidFill>
              <a:srgbClr val="1C1F2A"/>
            </a:solidFill>
          </a:endParaRPr>
        </a:p>
        <a:p>
          <a:pPr lvl="0" algn="ctr"/>
          <a:r>
            <a:rPr lang="es-ES" sz="850" b="1" i="1" baseline="0">
              <a:solidFill>
                <a:srgbClr val="1C1F2A"/>
              </a:solidFill>
            </a:rPr>
            <a:t>https://entrenamientointeligente.es/</a:t>
          </a:r>
        </a:p>
        <a:p>
          <a:pPr lvl="0" algn="l"/>
          <a:endParaRPr lang="es-ES" sz="1400" b="0" baseline="0">
            <a:solidFill>
              <a:srgbClr val="1C1F2A"/>
            </a:solidFill>
          </a:endParaRPr>
        </a:p>
      </xdr:txBody>
    </xdr:sp>
    <xdr:clientData/>
  </xdr:twoCellAnchor>
  <xdr:twoCellAnchor editAs="absolute">
    <xdr:from>
      <xdr:col>14</xdr:col>
      <xdr:colOff>428625</xdr:colOff>
      <xdr:row>30</xdr:row>
      <xdr:rowOff>19049</xdr:rowOff>
    </xdr:from>
    <xdr:to>
      <xdr:col>16</xdr:col>
      <xdr:colOff>66675</xdr:colOff>
      <xdr:row>33</xdr:row>
      <xdr:rowOff>28574</xdr:rowOff>
    </xdr:to>
    <xdr:pic>
      <xdr:nvPicPr>
        <xdr:cNvPr id="6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5734049"/>
          <a:ext cx="1162050" cy="581025"/>
        </a:xfrm>
        <a:prstGeom prst="rect">
          <a:avLst/>
        </a:prstGeom>
      </xdr:spPr>
    </xdr:pic>
    <xdr:clientData fLocksWithSheet="0"/>
  </xdr:twoCellAnchor>
  <xdr:twoCellAnchor editAs="absolute">
    <xdr:from>
      <xdr:col>9</xdr:col>
      <xdr:colOff>428624</xdr:colOff>
      <xdr:row>35</xdr:row>
      <xdr:rowOff>152400</xdr:rowOff>
    </xdr:from>
    <xdr:to>
      <xdr:col>11</xdr:col>
      <xdr:colOff>333375</xdr:colOff>
      <xdr:row>40</xdr:row>
      <xdr:rowOff>107432</xdr:rowOff>
    </xdr:to>
    <xdr:pic>
      <xdr:nvPicPr>
        <xdr:cNvPr id="5" name="4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4" y="6819900"/>
          <a:ext cx="1428751" cy="907532"/>
        </a:xfrm>
        <a:prstGeom prst="rect">
          <a:avLst/>
        </a:prstGeom>
      </xdr:spPr>
    </xdr:pic>
    <xdr:clientData fLocksWithSheet="0"/>
  </xdr:twoCellAnchor>
  <xdr:twoCellAnchor editAs="oneCell">
    <xdr:from>
      <xdr:col>6</xdr:col>
      <xdr:colOff>200025</xdr:colOff>
      <xdr:row>42</xdr:row>
      <xdr:rowOff>95250</xdr:rowOff>
    </xdr:from>
    <xdr:to>
      <xdr:col>7</xdr:col>
      <xdr:colOff>123825</xdr:colOff>
      <xdr:row>46</xdr:row>
      <xdr:rowOff>19050</xdr:rowOff>
    </xdr:to>
    <xdr:pic>
      <xdr:nvPicPr>
        <xdr:cNvPr id="3" name="Gráfico 2" descr="Cerebro en la cabeza con relleno sólido">
          <a:extLst>
            <a:ext uri="{FF2B5EF4-FFF2-40B4-BE49-F238E27FC236}">
              <a16:creationId xmlns:a16="http://schemas.microsoft.com/office/drawing/2014/main" id="{CA549A70-3F5C-EB5A-B440-7E772212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772025" y="80962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231558</xdr:colOff>
      <xdr:row>0</xdr:row>
      <xdr:rowOff>137293</xdr:rowOff>
    </xdr:from>
    <xdr:to>
      <xdr:col>12</xdr:col>
      <xdr:colOff>654270</xdr:colOff>
      <xdr:row>2</xdr:row>
      <xdr:rowOff>179005</xdr:rowOff>
    </xdr:to>
    <xdr:pic>
      <xdr:nvPicPr>
        <xdr:cNvPr id="9" name="Gráfico 8" descr="Latido con relleno sólido">
          <a:extLst>
            <a:ext uri="{FF2B5EF4-FFF2-40B4-BE49-F238E27FC236}">
              <a16:creationId xmlns:a16="http://schemas.microsoft.com/office/drawing/2014/main" id="{05771397-B8AF-0B98-9C2A-169483189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375558" y="137293"/>
          <a:ext cx="422712" cy="42271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0</xdr:row>
      <xdr:rowOff>83097</xdr:rowOff>
    </xdr:from>
    <xdr:to>
      <xdr:col>8</xdr:col>
      <xdr:colOff>526830</xdr:colOff>
      <xdr:row>2</xdr:row>
      <xdr:rowOff>181302</xdr:rowOff>
    </xdr:to>
    <xdr:pic>
      <xdr:nvPicPr>
        <xdr:cNvPr id="10" name="Gráfico 9" descr="Latido con relleno sólido">
          <a:extLst>
            <a:ext uri="{FF2B5EF4-FFF2-40B4-BE49-F238E27FC236}">
              <a16:creationId xmlns:a16="http://schemas.microsoft.com/office/drawing/2014/main" id="{63017AB5-B41C-473E-8004-723CD5AD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800000">
          <a:off x="6143625" y="83097"/>
          <a:ext cx="479205" cy="479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38100</xdr:colOff>
      <xdr:row>13</xdr:row>
      <xdr:rowOff>85725</xdr:rowOff>
    </xdr:from>
    <xdr:to>
      <xdr:col>13</xdr:col>
      <xdr:colOff>704851</xdr:colOff>
      <xdr:row>18</xdr:row>
      <xdr:rowOff>12182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3790950"/>
          <a:ext cx="1428751" cy="90753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10</xdr:row>
      <xdr:rowOff>9526</xdr:rowOff>
    </xdr:from>
    <xdr:to>
      <xdr:col>5</xdr:col>
      <xdr:colOff>0</xdr:colOff>
      <xdr:row>23</xdr:row>
      <xdr:rowOff>9525</xdr:rowOff>
    </xdr:to>
    <xdr:pic>
      <xdr:nvPicPr>
        <xdr:cNvPr id="3" name="Gráfico 2" descr="Calculadora">
          <a:extLst>
            <a:ext uri="{FF2B5EF4-FFF2-40B4-BE49-F238E27FC236}">
              <a16:creationId xmlns:a16="http://schemas.microsoft.com/office/drawing/2014/main" id="{AFE72D9B-0807-4281-460A-C9BCC0AB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486025" y="3124201"/>
          <a:ext cx="2333625" cy="2152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9</xdr:row>
      <xdr:rowOff>104775</xdr:rowOff>
    </xdr:from>
    <xdr:to>
      <xdr:col>19</xdr:col>
      <xdr:colOff>133350</xdr:colOff>
      <xdr:row>12</xdr:row>
      <xdr:rowOff>28575</xdr:rowOff>
    </xdr:to>
    <xdr:pic>
      <xdr:nvPicPr>
        <xdr:cNvPr id="3" name="Gráfico 2" descr="Mano con dedo índice apuntando a la derecha con relleno sólido">
          <a:extLst>
            <a:ext uri="{FF2B5EF4-FFF2-40B4-BE49-F238E27FC236}">
              <a16:creationId xmlns:a16="http://schemas.microsoft.com/office/drawing/2014/main" id="{8F48CCE0-9605-F87A-CFA9-30B05DE64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2071693">
          <a:off x="12163425" y="1885950"/>
          <a:ext cx="514350" cy="514350"/>
        </a:xfrm>
        <a:prstGeom prst="rect">
          <a:avLst/>
        </a:prstGeom>
      </xdr:spPr>
    </xdr:pic>
    <xdr:clientData/>
  </xdr:twoCellAnchor>
  <xdr:twoCellAnchor editAs="absolute">
    <xdr:from>
      <xdr:col>1</xdr:col>
      <xdr:colOff>66674</xdr:colOff>
      <xdr:row>2</xdr:row>
      <xdr:rowOff>13783</xdr:rowOff>
    </xdr:from>
    <xdr:to>
      <xdr:col>4</xdr:col>
      <xdr:colOff>76199</xdr:colOff>
      <xdr:row>9</xdr:row>
      <xdr:rowOff>190499</xdr:rowOff>
    </xdr:to>
    <xdr:pic>
      <xdr:nvPicPr>
        <xdr:cNvPr id="9" name="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9EC11E-43DA-643E-AF34-00FF7491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413833"/>
          <a:ext cx="2505075" cy="155784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163</xdr:row>
      <xdr:rowOff>57150</xdr:rowOff>
    </xdr:from>
    <xdr:to>
      <xdr:col>2</xdr:col>
      <xdr:colOff>333374</xdr:colOff>
      <xdr:row>166</xdr:row>
      <xdr:rowOff>133349</xdr:rowOff>
    </xdr:to>
    <xdr:pic>
      <xdr:nvPicPr>
        <xdr:cNvPr id="16" name="Gráfico 15" descr="Culturista con relleno sólido">
          <a:extLst>
            <a:ext uri="{FF2B5EF4-FFF2-40B4-BE49-F238E27FC236}">
              <a16:creationId xmlns:a16="http://schemas.microsoft.com/office/drawing/2014/main" id="{C5451D27-2EE0-651C-9013-2C4424B5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209675" y="43938825"/>
          <a:ext cx="647699" cy="647699"/>
        </a:xfrm>
        <a:prstGeom prst="rect">
          <a:avLst/>
        </a:prstGeom>
      </xdr:spPr>
    </xdr:pic>
    <xdr:clientData/>
  </xdr:twoCellAnchor>
  <xdr:twoCellAnchor editAs="oneCell">
    <xdr:from>
      <xdr:col>28</xdr:col>
      <xdr:colOff>723899</xdr:colOff>
      <xdr:row>177</xdr:row>
      <xdr:rowOff>19049</xdr:rowOff>
    </xdr:from>
    <xdr:to>
      <xdr:col>28</xdr:col>
      <xdr:colOff>1457324</xdr:colOff>
      <xdr:row>180</xdr:row>
      <xdr:rowOff>180974</xdr:rowOff>
    </xdr:to>
    <xdr:pic>
      <xdr:nvPicPr>
        <xdr:cNvPr id="24" name="Gráfico 23" descr="Lista de comprobación con relleno sólido">
          <a:extLst>
            <a:ext uri="{FF2B5EF4-FFF2-40B4-BE49-F238E27FC236}">
              <a16:creationId xmlns:a16="http://schemas.microsoft.com/office/drawing/2014/main" id="{C8C12D8A-10AB-8393-B027-62BE4028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6125824" y="34251899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28</xdr:col>
      <xdr:colOff>742950</xdr:colOff>
      <xdr:row>170</xdr:row>
      <xdr:rowOff>57150</xdr:rowOff>
    </xdr:from>
    <xdr:to>
      <xdr:col>28</xdr:col>
      <xdr:colOff>1390650</xdr:colOff>
      <xdr:row>173</xdr:row>
      <xdr:rowOff>133350</xdr:rowOff>
    </xdr:to>
    <xdr:pic>
      <xdr:nvPicPr>
        <xdr:cNvPr id="26" name="Gráfico 25" descr="Reloj de arena terminado con relleno sólido">
          <a:extLst>
            <a:ext uri="{FF2B5EF4-FFF2-40B4-BE49-F238E27FC236}">
              <a16:creationId xmlns:a16="http://schemas.microsoft.com/office/drawing/2014/main" id="{64B5A4E6-000E-DA90-A402-C47E449F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6144875" y="3293745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1038225</xdr:colOff>
      <xdr:row>7</xdr:row>
      <xdr:rowOff>95250</xdr:rowOff>
    </xdr:from>
    <xdr:to>
      <xdr:col>12</xdr:col>
      <xdr:colOff>28574</xdr:colOff>
      <xdr:row>10</xdr:row>
      <xdr:rowOff>114299</xdr:rowOff>
    </xdr:to>
    <xdr:pic>
      <xdr:nvPicPr>
        <xdr:cNvPr id="37" name="Gráfico 36" descr="Gráfico de barras con tendencia alcista con relleno sólido">
          <a:extLst>
            <a:ext uri="{FF2B5EF4-FFF2-40B4-BE49-F238E27FC236}">
              <a16:creationId xmlns:a16="http://schemas.microsoft.com/office/drawing/2014/main" id="{65DC8C70-4161-4DAE-9EEE-B479C0407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7600950" y="1485900"/>
          <a:ext cx="609599" cy="609599"/>
        </a:xfrm>
        <a:prstGeom prst="rect">
          <a:avLst/>
        </a:prstGeom>
      </xdr:spPr>
    </xdr:pic>
    <xdr:clientData/>
  </xdr:twoCellAnchor>
  <xdr:twoCellAnchor editAs="absolute">
    <xdr:from>
      <xdr:col>23</xdr:col>
      <xdr:colOff>238125</xdr:colOff>
      <xdr:row>159</xdr:row>
      <xdr:rowOff>9525</xdr:rowOff>
    </xdr:from>
    <xdr:to>
      <xdr:col>28</xdr:col>
      <xdr:colOff>1162050</xdr:colOff>
      <xdr:row>167</xdr:row>
      <xdr:rowOff>14791</xdr:rowOff>
    </xdr:to>
    <xdr:pic>
      <xdr:nvPicPr>
        <xdr:cNvPr id="38" name="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03EB66-A8F4-4C04-947A-08B92B10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8900" y="30756225"/>
          <a:ext cx="2505075" cy="1557841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160</xdr:row>
      <xdr:rowOff>85725</xdr:rowOff>
    </xdr:from>
    <xdr:to>
      <xdr:col>15</xdr:col>
      <xdr:colOff>38099</xdr:colOff>
      <xdr:row>169</xdr:row>
      <xdr:rowOff>123824</xdr:rowOff>
    </xdr:to>
    <xdr:pic>
      <xdr:nvPicPr>
        <xdr:cNvPr id="41" name="Gráfico 40" descr="Cinta de premiación con una estrella">
          <a:extLst>
            <a:ext uri="{FF2B5EF4-FFF2-40B4-BE49-F238E27FC236}">
              <a16:creationId xmlns:a16="http://schemas.microsoft.com/office/drawing/2014/main" id="{F8C50969-FC1F-467F-9BA6-3B57A13D9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191625" y="43386375"/>
          <a:ext cx="1771649" cy="17716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295273</xdr:colOff>
      <xdr:row>1</xdr:row>
      <xdr:rowOff>0</xdr:rowOff>
    </xdr:from>
    <xdr:to>
      <xdr:col>9</xdr:col>
      <xdr:colOff>352425</xdr:colOff>
      <xdr:row>18</xdr:row>
      <xdr:rowOff>19049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200025</xdr:colOff>
      <xdr:row>0</xdr:row>
      <xdr:rowOff>180975</xdr:rowOff>
    </xdr:from>
    <xdr:to>
      <xdr:col>19</xdr:col>
      <xdr:colOff>295275</xdr:colOff>
      <xdr:row>18</xdr:row>
      <xdr:rowOff>9524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314323</xdr:colOff>
      <xdr:row>19</xdr:row>
      <xdr:rowOff>123825</xdr:rowOff>
    </xdr:from>
    <xdr:to>
      <xdr:col>9</xdr:col>
      <xdr:colOff>314325</xdr:colOff>
      <xdr:row>36</xdr:row>
      <xdr:rowOff>142874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295276</xdr:colOff>
      <xdr:row>38</xdr:row>
      <xdr:rowOff>66675</xdr:rowOff>
    </xdr:from>
    <xdr:to>
      <xdr:col>6</xdr:col>
      <xdr:colOff>228600</xdr:colOff>
      <xdr:row>55</xdr:row>
      <xdr:rowOff>85724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571500</xdr:colOff>
      <xdr:row>38</xdr:row>
      <xdr:rowOff>57150</xdr:rowOff>
    </xdr:from>
    <xdr:to>
      <xdr:col>12</xdr:col>
      <xdr:colOff>666750</xdr:colOff>
      <xdr:row>55</xdr:row>
      <xdr:rowOff>76199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266700</xdr:colOff>
      <xdr:row>38</xdr:row>
      <xdr:rowOff>57150</xdr:rowOff>
    </xdr:from>
    <xdr:to>
      <xdr:col>19</xdr:col>
      <xdr:colOff>285750</xdr:colOff>
      <xdr:row>55</xdr:row>
      <xdr:rowOff>76199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209551</xdr:colOff>
      <xdr:row>19</xdr:row>
      <xdr:rowOff>114300</xdr:rowOff>
    </xdr:from>
    <xdr:to>
      <xdr:col>19</xdr:col>
      <xdr:colOff>295275</xdr:colOff>
      <xdr:row>36</xdr:row>
      <xdr:rowOff>152399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9</xdr:col>
      <xdr:colOff>390525</xdr:colOff>
      <xdr:row>57</xdr:row>
      <xdr:rowOff>152400</xdr:rowOff>
    </xdr:from>
    <xdr:to>
      <xdr:col>11</xdr:col>
      <xdr:colOff>295276</xdr:colOff>
      <xdr:row>62</xdr:row>
      <xdr:rowOff>107432</xdr:rowOff>
    </xdr:to>
    <xdr:pic>
      <xdr:nvPicPr>
        <xdr:cNvPr id="13" name="12 Imagen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11010900"/>
          <a:ext cx="1428751" cy="9075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0</xdr:colOff>
      <xdr:row>3</xdr:row>
      <xdr:rowOff>0</xdr:rowOff>
    </xdr:to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D4478DC1-7131-4290-AD1C-395B7A108CBF}"/>
            </a:ext>
          </a:extLst>
        </xdr:cNvPr>
        <xdr:cNvSpPr txBox="1"/>
      </xdr:nvSpPr>
      <xdr:spPr>
        <a:xfrm>
          <a:off x="0" y="0"/>
          <a:ext cx="16764000" cy="571500"/>
        </a:xfrm>
        <a:prstGeom prst="rect">
          <a:avLst/>
        </a:prstGeom>
        <a:gradFill>
          <a:gsLst>
            <a:gs pos="0">
              <a:srgbClr val="316094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275" endPos="40000" dist="1016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0" i="0">
              <a:solidFill>
                <a:srgbClr val="1C1F2A"/>
              </a:solidFill>
              <a:effectLst/>
              <a:latin typeface="+mn-lt"/>
              <a:ea typeface="+mn-ea"/>
              <a:cs typeface="+mn-cs"/>
            </a:rPr>
            <a:t>Estos gráficos se completarán automáticamente a medida que vayas registrando en el diario el</a:t>
          </a:r>
          <a:r>
            <a:rPr lang="es-ES" sz="1600" b="0" i="0" baseline="0">
              <a:solidFill>
                <a:srgbClr val="1C1F2A"/>
              </a:solidFill>
              <a:effectLst/>
              <a:latin typeface="+mn-lt"/>
              <a:ea typeface="+mn-ea"/>
              <a:cs typeface="+mn-cs"/>
            </a:rPr>
            <a:t> PRS y sRPE</a:t>
          </a:r>
          <a:r>
            <a:rPr lang="es-ES" sz="1600" b="0" i="0">
              <a:solidFill>
                <a:srgbClr val="1C1F2A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 sz="1600">
            <a:solidFill>
              <a:srgbClr val="1C1F2A"/>
            </a:solidFill>
          </a:endParaRPr>
        </a:p>
      </xdr:txBody>
    </xdr:sp>
    <xdr:clientData/>
  </xdr:twoCellAnchor>
  <xdr:twoCellAnchor>
    <xdr:from>
      <xdr:col>3</xdr:col>
      <xdr:colOff>9525</xdr:colOff>
      <xdr:row>5</xdr:row>
      <xdr:rowOff>9525</xdr:rowOff>
    </xdr:from>
    <xdr:to>
      <xdr:col>19</xdr:col>
      <xdr:colOff>38100</xdr:colOff>
      <xdr:row>19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2CAECC6-A029-4F61-9E38-5BC41B57E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142875</xdr:colOff>
      <xdr:row>15</xdr:row>
      <xdr:rowOff>28575</xdr:rowOff>
    </xdr:from>
    <xdr:to>
      <xdr:col>2</xdr:col>
      <xdr:colOff>733424</xdr:colOff>
      <xdr:row>18</xdr:row>
      <xdr:rowOff>47624</xdr:rowOff>
    </xdr:to>
    <xdr:pic>
      <xdr:nvPicPr>
        <xdr:cNvPr id="12" name="Gráfico 11" descr="Contorno de cara triste con relleno sólido">
          <a:extLst>
            <a:ext uri="{FF2B5EF4-FFF2-40B4-BE49-F238E27FC236}">
              <a16:creationId xmlns:a16="http://schemas.microsoft.com/office/drawing/2014/main" id="{D54210F8-863C-86C6-B0DA-29D9372F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66875" y="2886075"/>
          <a:ext cx="590549" cy="59054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</xdr:row>
      <xdr:rowOff>19050</xdr:rowOff>
    </xdr:from>
    <xdr:to>
      <xdr:col>2</xdr:col>
      <xdr:colOff>742950</xdr:colOff>
      <xdr:row>10</xdr:row>
      <xdr:rowOff>57150</xdr:rowOff>
    </xdr:to>
    <xdr:pic>
      <xdr:nvPicPr>
        <xdr:cNvPr id="14" name="Gráfico 13" descr="Contorno de cara riendo con relleno sólido">
          <a:extLst>
            <a:ext uri="{FF2B5EF4-FFF2-40B4-BE49-F238E27FC236}">
              <a16:creationId xmlns:a16="http://schemas.microsoft.com/office/drawing/2014/main" id="{8978A4D8-0279-FE55-7397-CB30E6486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657350" y="1352550"/>
          <a:ext cx="609600" cy="609600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22</xdr:row>
      <xdr:rowOff>9525</xdr:rowOff>
    </xdr:from>
    <xdr:to>
      <xdr:col>19</xdr:col>
      <xdr:colOff>38100</xdr:colOff>
      <xdr:row>36</xdr:row>
      <xdr:rowOff>114300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94ACAC8-8A42-4C86-9260-EF497D720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57150</xdr:colOff>
      <xdr:row>31</xdr:row>
      <xdr:rowOff>171450</xdr:rowOff>
    </xdr:from>
    <xdr:to>
      <xdr:col>2</xdr:col>
      <xdr:colOff>742949</xdr:colOff>
      <xdr:row>35</xdr:row>
      <xdr:rowOff>95249</xdr:rowOff>
    </xdr:to>
    <xdr:pic>
      <xdr:nvPicPr>
        <xdr:cNvPr id="22" name="Imagen 21" descr="Pusheen durmiendo">
          <a:extLst>
            <a:ext uri="{FF2B5EF4-FFF2-40B4-BE49-F238E27FC236}">
              <a16:creationId xmlns:a16="http://schemas.microsoft.com/office/drawing/2014/main" id="{FD09068F-B7D6-786D-B42F-8EA15839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6076950"/>
          <a:ext cx="685799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40</xdr:row>
      <xdr:rowOff>9526</xdr:rowOff>
    </xdr:from>
    <xdr:to>
      <xdr:col>10</xdr:col>
      <xdr:colOff>141046</xdr:colOff>
      <xdr:row>66</xdr:row>
      <xdr:rowOff>104776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CC5F3F9-DA32-4860-93BB-F69840EC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7629526"/>
          <a:ext cx="6217996" cy="5048250"/>
        </a:xfrm>
        <a:prstGeom prst="rect">
          <a:avLst/>
        </a:prstGeom>
        <a:noFill/>
        <a:ln w="25400">
          <a:noFill/>
        </a:ln>
        <a:effectLst>
          <a:glow rad="63500">
            <a:srgbClr val="316094">
              <a:alpha val="40000"/>
            </a:srgbClr>
          </a:glow>
          <a:outerShdw blurRad="50800" dist="38100" dir="2700000" algn="tl" rotWithShape="0">
            <a:srgbClr val="1C1F2A">
              <a:alpha val="40000"/>
            </a:srgbClr>
          </a:outerShdw>
          <a:softEdge rad="254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719482</xdr:colOff>
      <xdr:row>39</xdr:row>
      <xdr:rowOff>162382</xdr:rowOff>
    </xdr:from>
    <xdr:to>
      <xdr:col>20</xdr:col>
      <xdr:colOff>6744</xdr:colOff>
      <xdr:row>66</xdr:row>
      <xdr:rowOff>152400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275745A-DE26-4204-ACA7-A8E1D2871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2" r="10855"/>
        <a:stretch/>
      </xdr:blipFill>
      <xdr:spPr bwMode="auto">
        <a:xfrm>
          <a:off x="9101482" y="7591882"/>
          <a:ext cx="6145262" cy="5133518"/>
        </a:xfrm>
        <a:prstGeom prst="rect">
          <a:avLst/>
        </a:prstGeom>
        <a:noFill/>
        <a:ln w="25400">
          <a:noFill/>
        </a:ln>
        <a:effectLst>
          <a:glow rad="63500">
            <a:srgbClr val="316094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122099</xdr:colOff>
      <xdr:row>24</xdr:row>
      <xdr:rowOff>31681</xdr:rowOff>
    </xdr:from>
    <xdr:to>
      <xdr:col>2</xdr:col>
      <xdr:colOff>654180</xdr:colOff>
      <xdr:row>27</xdr:row>
      <xdr:rowOff>49272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2" name="Modelo 3D 1" descr="Emoji de cara caliente">
              <a:extLst>
                <a:ext uri="{FF2B5EF4-FFF2-40B4-BE49-F238E27FC236}">
                  <a16:creationId xmlns:a16="http://schemas.microsoft.com/office/drawing/2014/main" id="{89D98C06-7982-5111-5552-AB87471ECEA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0">
                <am3d:spPr>
                  <a:xfrm>
                    <a:off x="0" y="0"/>
                    <a:ext cx="532081" cy="589091"/>
                  </a:xfrm>
                  <a:prstGeom prst="rect">
                    <a:avLst/>
                  </a:prstGeom>
                </am3d:spPr>
                <am3d:camera>
                  <am3d:pos x="0" y="0" z="77741944"/>
                  <am3d:up dx="0" dy="36000000" dz="0"/>
                  <am3d:lookAt x="0" y="0" z="0"/>
                  <am3d:perspective fov="2700000"/>
                </am3d:camera>
                <am3d:trans>
                  <am3d:meterPerModelUnit n="88662" d="1000000"/>
                  <am3d:preTrans dx="2152" dy="-16757246" dz="-1248832"/>
                  <am3d:scale>
                    <am3d:sx n="1000000" d="1000000"/>
                    <am3d:sy n="1000000" d="1000000"/>
                    <am3d:sz n="1000000" d="1000000"/>
                  </am3d:scale>
                  <am3d:rot ax="637498" ay="-1" az="-1"/>
                  <am3d:postTrans dx="0" dy="0" dz="0"/>
                </am3d:trans>
                <am3d:raster rName="Office3DRenderer" rVer="16.0.8326">
                  <am3d:blip r:embed="rId11"/>
                </am3d:raster>
                <am3d:objViewport viewportSz="855130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2" name="Modelo 3D 1" descr="Emoji de cara caliente">
              <a:extLst>
                <a:ext uri="{FF2B5EF4-FFF2-40B4-BE49-F238E27FC236}">
                  <a16:creationId xmlns:a16="http://schemas.microsoft.com/office/drawing/2014/main" id="{89D98C06-7982-5111-5552-AB87471ECEA9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646099" y="4603681"/>
              <a:ext cx="532081" cy="589091"/>
            </a:xfrm>
            <a:prstGeom prst="rect">
              <a:avLst/>
            </a:prstGeom>
          </xdr:spPr>
        </xdr:pic>
      </mc:Fallback>
    </mc:AlternateContent>
    <xdr:clientData/>
  </xdr:twoCellAnchor>
  <xdr:twoCellAnchor editAs="absolute">
    <xdr:from>
      <xdr:col>10</xdr:col>
      <xdr:colOff>47625</xdr:colOff>
      <xdr:row>68</xdr:row>
      <xdr:rowOff>28575</xdr:rowOff>
    </xdr:from>
    <xdr:to>
      <xdr:col>11</xdr:col>
      <xdr:colOff>714376</xdr:colOff>
      <xdr:row>72</xdr:row>
      <xdr:rowOff>174107</xdr:rowOff>
    </xdr:to>
    <xdr:pic>
      <xdr:nvPicPr>
        <xdr:cNvPr id="3" name="7 Image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72DE55-CACD-4A04-9FF3-5EF810C8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12982575"/>
          <a:ext cx="1428751" cy="9075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47625</xdr:rowOff>
    </xdr:from>
    <xdr:to>
      <xdr:col>6</xdr:col>
      <xdr:colOff>0</xdr:colOff>
      <xdr:row>33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5772150"/>
          <a:ext cx="11210925" cy="600075"/>
        </a:xfrm>
        <a:prstGeom prst="rect">
          <a:avLst/>
        </a:prstGeom>
        <a:gradFill>
          <a:gsLst>
            <a:gs pos="0">
              <a:srgbClr val="316094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275" endPos="40000" dist="1016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aseline="0">
              <a:solidFill>
                <a:srgbClr val="1C1F2A"/>
              </a:solidFill>
              <a:latin typeface="+mn-lt"/>
              <a:ea typeface="+mn-ea"/>
              <a:cs typeface="+mn-cs"/>
            </a:rPr>
            <a:t>Aquí puedes añadir variantes de los ejercicios básicos para seleccionarlos en la hoja de PROGRAMA.</a:t>
          </a:r>
        </a:p>
      </xdr:txBody>
    </xdr:sp>
    <xdr:clientData/>
  </xdr:twoCellAnchor>
  <xdr:twoCellAnchor editAs="absolute">
    <xdr:from>
      <xdr:col>10</xdr:col>
      <xdr:colOff>323850</xdr:colOff>
      <xdr:row>28</xdr:row>
      <xdr:rowOff>152400</xdr:rowOff>
    </xdr:from>
    <xdr:to>
      <xdr:col>12</xdr:col>
      <xdr:colOff>228601</xdr:colOff>
      <xdr:row>33</xdr:row>
      <xdr:rowOff>88382</xdr:rowOff>
    </xdr:to>
    <xdr:pic>
      <xdr:nvPicPr>
        <xdr:cNvPr id="4" name="7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24D6D-BB29-B22B-8048-579CD4AAC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0" y="5495925"/>
          <a:ext cx="1428751" cy="907532"/>
        </a:xfrm>
        <a:prstGeom prst="rect">
          <a:avLst/>
        </a:prstGeom>
      </xdr:spPr>
    </xdr:pic>
    <xdr:clientData/>
  </xdr:twoCellAnchor>
  <xdr:twoCellAnchor editAs="oneCell">
    <xdr:from>
      <xdr:col>8</xdr:col>
      <xdr:colOff>36670</xdr:colOff>
      <xdr:row>2</xdr:row>
      <xdr:rowOff>38100</xdr:rowOff>
    </xdr:from>
    <xdr:to>
      <xdr:col>12</xdr:col>
      <xdr:colOff>35479</xdr:colOff>
      <xdr:row>26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A71714-DA3B-9A09-0F5D-0947B7A9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1595" y="428625"/>
          <a:ext cx="3046809" cy="4572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15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"/>
  <sheetViews>
    <sheetView showGridLines="0" tabSelected="1" zoomScaleNormal="100" workbookViewId="0">
      <selection activeCell="W44" sqref="W44"/>
    </sheetView>
  </sheetViews>
  <sheetFormatPr baseColWidth="10" defaultRowHeight="15" x14ac:dyDescent="0.25"/>
  <sheetData/>
  <sheetProtection algorithmName="SHA-512" hashValue="MTtnBj88usIdOff+xFQcGgVkKCSUjfVO+8eH4abVsDwq2xEmXJWb2t7rd2lavBC8FKYzRPldKU0m2YBQ1975Xg==" saltValue="it5gGsqWKiwv0kFCDmFAl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O75"/>
  <sheetViews>
    <sheetView showGridLines="0" workbookViewId="0">
      <selection activeCell="C27" sqref="C27"/>
    </sheetView>
  </sheetViews>
  <sheetFormatPr baseColWidth="10" defaultRowHeight="15" x14ac:dyDescent="0.25"/>
  <cols>
    <col min="2" max="2" width="25.7109375" customWidth="1"/>
    <col min="4" max="4" width="11.42578125" customWidth="1"/>
    <col min="5" max="5" width="12.28515625" bestFit="1" customWidth="1"/>
    <col min="6" max="6" width="11.5703125" hidden="1" customWidth="1"/>
    <col min="7" max="7" width="18.140625" bestFit="1" customWidth="1"/>
    <col min="8" max="8" width="21.42578125" bestFit="1" customWidth="1"/>
    <col min="9" max="9" width="19.85546875" bestFit="1" customWidth="1"/>
    <col min="11" max="11" width="20.7109375" customWidth="1"/>
  </cols>
  <sheetData>
    <row r="1" spans="1:15" ht="15.75" thickBot="1" x14ac:dyDescent="0.3">
      <c r="A1" s="245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246"/>
    </row>
    <row r="2" spans="1:15" ht="25.5" customHeight="1" thickBot="1" x14ac:dyDescent="0.3">
      <c r="A2" s="37"/>
      <c r="B2" s="264" t="s">
        <v>22</v>
      </c>
      <c r="C2" s="265"/>
      <c r="D2" s="265"/>
      <c r="E2" s="266"/>
      <c r="F2" s="267"/>
      <c r="G2" s="253" t="s">
        <v>94</v>
      </c>
      <c r="H2" s="255" t="s">
        <v>95</v>
      </c>
      <c r="I2" s="257" t="s">
        <v>99</v>
      </c>
      <c r="J2" s="59"/>
      <c r="K2" s="46"/>
      <c r="L2" s="44"/>
      <c r="M2" s="44"/>
      <c r="N2" s="45"/>
      <c r="O2" s="37"/>
    </row>
    <row r="3" spans="1:15" ht="25.5" customHeight="1" thickBot="1" x14ac:dyDescent="0.3">
      <c r="A3" s="37"/>
      <c r="B3" s="65" t="s">
        <v>23</v>
      </c>
      <c r="C3" s="66" t="s">
        <v>24</v>
      </c>
      <c r="D3" s="66" t="s">
        <v>25</v>
      </c>
      <c r="E3" s="167" t="s">
        <v>26</v>
      </c>
      <c r="F3" s="67" t="s">
        <v>27</v>
      </c>
      <c r="G3" s="254"/>
      <c r="H3" s="256"/>
      <c r="I3" s="258"/>
      <c r="J3" s="37"/>
      <c r="K3" s="47"/>
      <c r="L3" s="250" t="s">
        <v>132</v>
      </c>
      <c r="M3" s="251"/>
      <c r="N3" s="252"/>
      <c r="O3" s="37"/>
    </row>
    <row r="4" spans="1:15" ht="25.5" customHeight="1" thickBot="1" x14ac:dyDescent="0.3">
      <c r="A4" s="37"/>
      <c r="B4" s="24" t="s">
        <v>5</v>
      </c>
      <c r="C4" s="2">
        <v>130</v>
      </c>
      <c r="D4" s="78">
        <v>9</v>
      </c>
      <c r="E4" s="168">
        <f>IF(D4="","",IF(D4&gt;20,C75,MROUND(C4*INDEX($B$55:$C$74, MATCH(D4,$B$55:$B$74,0), 2),B13)))</f>
        <v>178</v>
      </c>
      <c r="F4" s="81">
        <f>IF(D4="","",MROUND(E4*0.9,B13))</f>
        <v>160</v>
      </c>
      <c r="G4" s="170">
        <f>IF(AND(E4&lt;&gt;"",$B$16&lt;&gt;""),E4/$B$16,"")</f>
        <v>1.9777777777777779</v>
      </c>
      <c r="H4" s="60" t="str">
        <f>IF(B19="Hombre",IF(G4&lt;=1.5,"Principiante",IF(G4&lt;=2,"Intermedio",IF(G4&lt;=2.4,"Avanzado","Experto"))),IF(G4&lt;=0.8,"Principiante",IF(G4&lt;=1.3,"Intermedio",IF(G4&lt;=1.7,"Avanzado","Experto"))))</f>
        <v>Intermedio</v>
      </c>
      <c r="I4" s="55" t="str">
        <f t="shared" ref="I4:I10" si="0">IF(H4="Principiante","Sesión/Microciclo",IF(H4="Intermedio","Microciclo/Mesociclo",IF(H4="Avanzado","Macrociclo",IF(H4="Experto","Varios Macrociclos",""))))</f>
        <v>Microciclo/Mesociclo</v>
      </c>
      <c r="J4" s="37"/>
      <c r="K4" s="48"/>
      <c r="L4" s="68" t="s">
        <v>24</v>
      </c>
      <c r="M4" s="66" t="s">
        <v>25</v>
      </c>
      <c r="N4" s="69" t="s">
        <v>26</v>
      </c>
      <c r="O4" s="37"/>
    </row>
    <row r="5" spans="1:15" ht="25.5" customHeight="1" x14ac:dyDescent="0.25">
      <c r="A5" s="37"/>
      <c r="B5" s="25" t="s">
        <v>91</v>
      </c>
      <c r="C5" s="3">
        <v>106</v>
      </c>
      <c r="D5" s="79">
        <v>8</v>
      </c>
      <c r="E5" s="247">
        <f>IF(D5="","",IF(D5&gt;20,D75,MROUND(C5*INDEX($B$55:$D$74, MATCH(D5,$B$55:$B$74,0), 3),B13)))</f>
        <v>133</v>
      </c>
      <c r="F5" s="82">
        <f>IF(D5="","",MROUND(E5*0.9,B13))</f>
        <v>120</v>
      </c>
      <c r="G5" s="170">
        <f t="shared" ref="G5:G10" si="1">IF(AND(E5&lt;&gt;"",$B$16&lt;&gt;""),E5/$B$16,"")</f>
        <v>1.4777777777777779</v>
      </c>
      <c r="H5" s="56" t="str">
        <f>IF(B19="Hombre",IF(G5&lt;=1.2,"Principiante",IF(G5&lt;=1.5,"Intermedio",IF(G5&lt;=1.8,"Avanzado","Experto"))),IF(G5&lt;=0.5,"Principiante",IF(G5&lt;=1,"Intermedio",IF(G5&lt;=1.3,"Avanzado","Experto"))))</f>
        <v>Intermedio</v>
      </c>
      <c r="I5" s="27" t="str">
        <f t="shared" si="0"/>
        <v>Microciclo/Mesociclo</v>
      </c>
      <c r="J5" s="37"/>
      <c r="K5" s="19" t="s">
        <v>28</v>
      </c>
      <c r="L5" s="2"/>
      <c r="M5" s="2"/>
      <c r="N5" s="18" t="str">
        <f>IF(OR(M5="",L5=""),"",MROUND((36*L5)/(37-M5),B13))</f>
        <v/>
      </c>
      <c r="O5" s="37"/>
    </row>
    <row r="6" spans="1:15" ht="25.5" customHeight="1" x14ac:dyDescent="0.25">
      <c r="A6" s="37"/>
      <c r="B6" s="25" t="s">
        <v>29</v>
      </c>
      <c r="C6" s="3">
        <v>180</v>
      </c>
      <c r="D6" s="79">
        <v>3</v>
      </c>
      <c r="E6" s="247">
        <f>IF(D6="","",IF(D6&gt;20,E75,MROUND(C6*INDEX($B$55:$E$74, MATCH(D6,$B$55:$B$74,0), 4),B13)))</f>
        <v>203</v>
      </c>
      <c r="F6" s="82">
        <f>IF(D6="","",MROUND(E6*0.9,B13))</f>
        <v>183</v>
      </c>
      <c r="G6" s="170">
        <f t="shared" si="1"/>
        <v>2.2555555555555555</v>
      </c>
      <c r="H6" s="61" t="str">
        <f>IF(B19="Hombre",IF(G6&lt;=1.5,"Principiante",IF(G6&lt;=2.2,"Intermedio",IF(G6&lt;=2.8,"Avanzado","Experto"))),IF(G6&lt;=1,"Principiante",IF(G6&lt;=1.5,"Intermedio",IF(G6&lt;=2.2,"Avanzado","Experto"))))</f>
        <v>Avanzado</v>
      </c>
      <c r="I6" s="27" t="str">
        <f t="shared" si="0"/>
        <v>Macrociclo</v>
      </c>
      <c r="J6" s="37"/>
      <c r="K6" s="20" t="s">
        <v>30</v>
      </c>
      <c r="L6" s="3"/>
      <c r="M6" s="163" t="str">
        <f>IF(OR(L6="",N6=""),"",ROUND(37-(36*L6/N6),0))</f>
        <v/>
      </c>
      <c r="N6" s="164"/>
      <c r="O6" s="37"/>
    </row>
    <row r="7" spans="1:15" ht="25.5" customHeight="1" thickBot="1" x14ac:dyDescent="0.3">
      <c r="A7" s="37"/>
      <c r="B7" s="25" t="s">
        <v>31</v>
      </c>
      <c r="C7" s="3">
        <v>70</v>
      </c>
      <c r="D7" s="79">
        <v>1</v>
      </c>
      <c r="E7" s="247">
        <f>IF(D7="","",MROUND((C7*36)/(37-D7),B13))</f>
        <v>70</v>
      </c>
      <c r="F7" s="82">
        <f>IF(D7="","",MROUND(E7*0.9,B13))</f>
        <v>63</v>
      </c>
      <c r="G7" s="75">
        <f t="shared" si="1"/>
        <v>0.77777777777777779</v>
      </c>
      <c r="H7" s="53"/>
      <c r="I7" s="28" t="str">
        <f t="shared" si="0"/>
        <v/>
      </c>
      <c r="J7" s="37"/>
      <c r="K7" s="21" t="s">
        <v>32</v>
      </c>
      <c r="L7" s="165" t="str">
        <f>IF(OR(M7="",N7=""),"",MROUND(N7/(36/(37-M7)),B13))</f>
        <v/>
      </c>
      <c r="M7" s="4"/>
      <c r="N7" s="166"/>
      <c r="O7" s="37"/>
    </row>
    <row r="8" spans="1:15" ht="25.5" customHeight="1" x14ac:dyDescent="0.25">
      <c r="A8" s="37"/>
      <c r="B8" s="25" t="s">
        <v>62</v>
      </c>
      <c r="C8" s="3">
        <v>90</v>
      </c>
      <c r="D8" s="79">
        <v>6</v>
      </c>
      <c r="E8" s="247">
        <f>IF(D8="","",MROUND((C8*36)/(37-D8),B13))</f>
        <v>105</v>
      </c>
      <c r="F8" s="82">
        <f>IF(D8="","",MROUND(E8*0.9,B13))</f>
        <v>95</v>
      </c>
      <c r="G8" s="75">
        <f t="shared" si="1"/>
        <v>1.1666666666666667</v>
      </c>
      <c r="H8" s="53"/>
      <c r="I8" s="28" t="str">
        <f t="shared" si="0"/>
        <v/>
      </c>
      <c r="J8" s="57"/>
      <c r="K8" s="39"/>
      <c r="L8" s="38"/>
      <c r="M8" s="38"/>
      <c r="N8" s="40"/>
      <c r="O8" s="32"/>
    </row>
    <row r="9" spans="1:15" ht="25.5" customHeight="1" x14ac:dyDescent="0.25">
      <c r="A9" s="37"/>
      <c r="B9" s="25" t="s">
        <v>10</v>
      </c>
      <c r="C9" s="3">
        <v>40</v>
      </c>
      <c r="D9" s="79">
        <v>1</v>
      </c>
      <c r="E9" s="247">
        <f>IF(D9="","",MROUND(((C9+B16)*36)/(37-D9),B13))-B16</f>
        <v>40</v>
      </c>
      <c r="F9" s="82">
        <f>IF(D9="","",MROUND(E9*0.9,B13))</f>
        <v>36</v>
      </c>
      <c r="G9" s="171">
        <f>IF(AND((E9+B16)&lt;&gt;"",$B$16&lt;&gt;""),(E9+B16)/$B$16,"")</f>
        <v>1.4444444444444444</v>
      </c>
      <c r="H9" s="62" t="str">
        <f>IF(B19="Hombre",IF(G9&lt;=1.1,"Principiante",IF(G9&lt;=1.3,"Intermedio",IF(G9&lt;=1.5,"Avanzado","Experto"))),IF(G9&lt;=0.6,"Principiante",IF(G9&lt;=1,"Intermedio",IF(G9&lt;=1.2,"Avanzado","Experto"))))</f>
        <v>Avanzado</v>
      </c>
      <c r="I9" s="27" t="str">
        <f t="shared" si="0"/>
        <v>Macrociclo</v>
      </c>
      <c r="J9" s="57"/>
      <c r="K9" s="31"/>
      <c r="L9" s="30"/>
      <c r="M9" s="30"/>
      <c r="N9" s="30"/>
      <c r="O9" s="32"/>
    </row>
    <row r="10" spans="1:15" ht="25.5" customHeight="1" thickBot="1" x14ac:dyDescent="0.3">
      <c r="A10" s="37"/>
      <c r="B10" s="26" t="s">
        <v>135</v>
      </c>
      <c r="C10" s="4">
        <v>250</v>
      </c>
      <c r="D10" s="80">
        <v>5</v>
      </c>
      <c r="E10" s="169">
        <f>IF(D10="","",MROUND((C10*36)/(37-D10),B13))</f>
        <v>281</v>
      </c>
      <c r="F10" s="83">
        <f>IF(D10="","",MROUND(E10*0.9,B13))</f>
        <v>253</v>
      </c>
      <c r="G10" s="63">
        <f t="shared" si="1"/>
        <v>3.1222222222222222</v>
      </c>
      <c r="H10" s="54"/>
      <c r="I10" s="29" t="str">
        <f t="shared" si="0"/>
        <v/>
      </c>
      <c r="J10" s="58"/>
      <c r="K10" s="31"/>
      <c r="L10" s="30"/>
      <c r="M10" s="30"/>
      <c r="N10" s="30"/>
      <c r="O10" s="32"/>
    </row>
    <row r="11" spans="1:15" ht="15.75" thickBot="1" x14ac:dyDescent="0.3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0"/>
      <c r="L11" s="30"/>
      <c r="M11" s="30"/>
      <c r="N11" s="30"/>
      <c r="O11" s="32"/>
    </row>
    <row r="12" spans="1:15" x14ac:dyDescent="0.25">
      <c r="A12" s="37"/>
      <c r="B12" s="64" t="s">
        <v>33</v>
      </c>
      <c r="C12" s="42"/>
      <c r="D12" s="43"/>
      <c r="E12" s="43"/>
      <c r="F12" s="43"/>
      <c r="G12" s="43"/>
      <c r="H12" s="43"/>
      <c r="I12" s="43"/>
      <c r="J12" s="43"/>
      <c r="K12" s="30"/>
      <c r="L12" s="30"/>
      <c r="M12" s="30"/>
      <c r="N12" s="30"/>
      <c r="O12" s="32"/>
    </row>
    <row r="13" spans="1:15" ht="15.75" thickBot="1" x14ac:dyDescent="0.3">
      <c r="A13" s="37"/>
      <c r="B13" s="5">
        <v>1</v>
      </c>
      <c r="C13" s="3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2"/>
    </row>
    <row r="14" spans="1:15" ht="15.75" thickBot="1" x14ac:dyDescent="0.3">
      <c r="A14" s="37"/>
      <c r="B14" s="3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2"/>
    </row>
    <row r="15" spans="1:15" x14ac:dyDescent="0.25">
      <c r="A15" s="37"/>
      <c r="B15" s="64" t="s">
        <v>35</v>
      </c>
      <c r="C15" s="31"/>
      <c r="D15" s="41"/>
      <c r="E15" s="41"/>
      <c r="F15" s="41"/>
      <c r="G15" s="41"/>
      <c r="H15" s="41"/>
      <c r="I15" s="41"/>
      <c r="J15" s="30"/>
      <c r="K15" s="30"/>
      <c r="L15" s="30"/>
      <c r="M15" s="30"/>
      <c r="N15" s="30"/>
      <c r="O15" s="32"/>
    </row>
    <row r="16" spans="1:15" ht="15.75" thickBot="1" x14ac:dyDescent="0.3">
      <c r="A16" s="37"/>
      <c r="B16" s="5">
        <v>90</v>
      </c>
      <c r="C16" s="31"/>
      <c r="D16" s="30"/>
      <c r="E16" s="30"/>
      <c r="F16" s="30"/>
      <c r="G16" s="30"/>
      <c r="H16" s="30"/>
      <c r="I16" s="30"/>
      <c r="J16" s="30"/>
      <c r="K16" s="31"/>
      <c r="L16" s="30"/>
      <c r="M16" s="30"/>
      <c r="N16" s="30"/>
      <c r="O16" s="32"/>
    </row>
    <row r="17" spans="1:15" ht="15.75" thickBot="1" x14ac:dyDescent="0.3">
      <c r="A17" s="37"/>
      <c r="B17" s="3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  <c r="O17" s="32"/>
    </row>
    <row r="18" spans="1:15" x14ac:dyDescent="0.25">
      <c r="A18" s="37"/>
      <c r="B18" s="64" t="s">
        <v>96</v>
      </c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2"/>
      <c r="O18" s="32"/>
    </row>
    <row r="19" spans="1:15" ht="15.75" thickBot="1" x14ac:dyDescent="0.3">
      <c r="A19" s="37"/>
      <c r="B19" s="5" t="s">
        <v>97</v>
      </c>
      <c r="C19" s="3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2"/>
      <c r="O19" s="32"/>
    </row>
    <row r="20" spans="1:15" x14ac:dyDescent="0.25">
      <c r="A20" s="37"/>
      <c r="B20" s="4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2"/>
      <c r="O20" s="32"/>
    </row>
    <row r="21" spans="1:15" x14ac:dyDescent="0.25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40"/>
    </row>
    <row r="22" spans="1:15" hidden="1" x14ac:dyDescent="0.25">
      <c r="B22" t="s">
        <v>97</v>
      </c>
    </row>
    <row r="23" spans="1:15" hidden="1" x14ac:dyDescent="0.25">
      <c r="B23" t="s">
        <v>98</v>
      </c>
    </row>
    <row r="29" spans="1:15" ht="15.75" hidden="1" thickBot="1" x14ac:dyDescent="0.3">
      <c r="B29" s="259" t="s">
        <v>25</v>
      </c>
      <c r="C29" s="261" t="s">
        <v>101</v>
      </c>
      <c r="D29" s="262"/>
      <c r="E29" s="262"/>
      <c r="F29" s="263"/>
    </row>
    <row r="30" spans="1:15" ht="15.75" hidden="1" thickBot="1" x14ac:dyDescent="0.3">
      <c r="B30" s="260"/>
      <c r="C30" s="73" t="s">
        <v>5</v>
      </c>
      <c r="D30" s="73" t="s">
        <v>9</v>
      </c>
      <c r="E30" s="73" t="s">
        <v>8</v>
      </c>
      <c r="F30" s="74" t="s">
        <v>100</v>
      </c>
    </row>
    <row r="31" spans="1:15" hidden="1" x14ac:dyDescent="0.25">
      <c r="B31" s="9">
        <v>1</v>
      </c>
      <c r="C31" s="70">
        <v>1</v>
      </c>
      <c r="D31" s="70">
        <v>1</v>
      </c>
      <c r="E31" s="70">
        <v>1</v>
      </c>
      <c r="F31" s="70">
        <v>1</v>
      </c>
    </row>
    <row r="32" spans="1:15" hidden="1" x14ac:dyDescent="0.25">
      <c r="B32" s="9">
        <v>2</v>
      </c>
      <c r="C32" s="71">
        <v>0.95499999999999996</v>
      </c>
      <c r="D32" s="71">
        <v>0.96599999999999997</v>
      </c>
      <c r="E32" s="71">
        <v>0.93899999999999995</v>
      </c>
      <c r="F32" s="71">
        <v>0.95</v>
      </c>
    </row>
    <row r="33" spans="2:6" hidden="1" x14ac:dyDescent="0.25">
      <c r="B33" s="9">
        <v>3</v>
      </c>
      <c r="C33" s="71">
        <v>0.88500000000000001</v>
      </c>
      <c r="D33" s="71">
        <v>0.92600000000000005</v>
      </c>
      <c r="E33" s="71">
        <v>0.88500000000000001</v>
      </c>
      <c r="F33" s="71">
        <v>0.93</v>
      </c>
    </row>
    <row r="34" spans="2:6" hidden="1" x14ac:dyDescent="0.25">
      <c r="B34" s="9">
        <v>4</v>
      </c>
      <c r="C34" s="71">
        <v>0.86399999999999999</v>
      </c>
      <c r="D34" s="71">
        <v>0.89700000000000002</v>
      </c>
      <c r="E34" s="71">
        <v>0.872</v>
      </c>
      <c r="F34" s="71">
        <v>0.9</v>
      </c>
    </row>
    <row r="35" spans="2:6" hidden="1" x14ac:dyDescent="0.25">
      <c r="B35" s="9">
        <v>5</v>
      </c>
      <c r="C35" s="71">
        <v>0.83299999999999996</v>
      </c>
      <c r="D35" s="71">
        <v>0.87</v>
      </c>
      <c r="E35" s="71">
        <v>0.85899999999999999</v>
      </c>
      <c r="F35" s="71">
        <v>0.87</v>
      </c>
    </row>
    <row r="36" spans="2:6" hidden="1" x14ac:dyDescent="0.25">
      <c r="B36" s="9">
        <v>6</v>
      </c>
      <c r="C36" s="71">
        <v>0.80500000000000005</v>
      </c>
      <c r="D36" s="71">
        <v>0.84699999999999998</v>
      </c>
      <c r="E36" s="71">
        <v>0.84699999999999998</v>
      </c>
      <c r="F36" s="71">
        <v>0.85</v>
      </c>
    </row>
    <row r="37" spans="2:6" hidden="1" x14ac:dyDescent="0.25">
      <c r="B37" s="9">
        <v>7</v>
      </c>
      <c r="C37" s="71">
        <v>0.77900000000000003</v>
      </c>
      <c r="D37" s="71">
        <v>0.82</v>
      </c>
      <c r="E37" s="71">
        <v>0.83499999999999996</v>
      </c>
      <c r="F37" s="71">
        <v>0.83</v>
      </c>
    </row>
    <row r="38" spans="2:6" hidden="1" x14ac:dyDescent="0.25">
      <c r="B38" s="9">
        <v>8</v>
      </c>
      <c r="C38" s="71">
        <v>0.754</v>
      </c>
      <c r="D38" s="71">
        <v>0.79700000000000004</v>
      </c>
      <c r="E38" s="71">
        <v>0.82</v>
      </c>
      <c r="F38" s="71">
        <v>0.8</v>
      </c>
    </row>
    <row r="39" spans="2:6" hidden="1" x14ac:dyDescent="0.25">
      <c r="B39" s="9">
        <v>9</v>
      </c>
      <c r="C39" s="71">
        <v>0.73099999999999998</v>
      </c>
      <c r="D39" s="71">
        <v>0.77500000000000002</v>
      </c>
      <c r="E39" s="71">
        <v>0.81200000000000006</v>
      </c>
      <c r="F39" s="71">
        <v>0.77</v>
      </c>
    </row>
    <row r="40" spans="2:6" hidden="1" x14ac:dyDescent="0.25">
      <c r="B40" s="9">
        <v>10</v>
      </c>
      <c r="C40" s="71">
        <v>0.70899999999999996</v>
      </c>
      <c r="D40" s="71">
        <v>0.755</v>
      </c>
      <c r="E40" s="71">
        <v>0.80600000000000005</v>
      </c>
      <c r="F40" s="71">
        <v>0.75</v>
      </c>
    </row>
    <row r="41" spans="2:6" hidden="1" x14ac:dyDescent="0.25">
      <c r="B41" s="9">
        <v>11</v>
      </c>
      <c r="C41" s="71">
        <v>0.67400000000000004</v>
      </c>
      <c r="D41" s="71">
        <v>0.72699999999999998</v>
      </c>
      <c r="E41" s="71">
        <v>0.79700000000000004</v>
      </c>
      <c r="F41" s="71">
        <v>0.7</v>
      </c>
    </row>
    <row r="42" spans="2:6" hidden="1" x14ac:dyDescent="0.25">
      <c r="B42" s="9">
        <v>12</v>
      </c>
      <c r="C42" s="71">
        <v>0.65</v>
      </c>
      <c r="D42" s="71">
        <v>0.70499999999999996</v>
      </c>
      <c r="E42" s="71">
        <v>0.79100000000000004</v>
      </c>
      <c r="F42" s="71">
        <v>0.67</v>
      </c>
    </row>
    <row r="43" spans="2:6" hidden="1" x14ac:dyDescent="0.25">
      <c r="B43" s="9">
        <v>13</v>
      </c>
      <c r="C43" s="71">
        <v>0.626</v>
      </c>
      <c r="D43" s="71">
        <v>0.68300000000000005</v>
      </c>
      <c r="E43" s="71">
        <v>0.78500000000000003</v>
      </c>
      <c r="F43" s="71">
        <v>0.66200000000000003</v>
      </c>
    </row>
    <row r="44" spans="2:6" hidden="1" x14ac:dyDescent="0.25">
      <c r="B44" s="9">
        <v>14</v>
      </c>
      <c r="C44" s="71">
        <v>0.60399999999999998</v>
      </c>
      <c r="D44" s="71">
        <v>0.66200000000000003</v>
      </c>
      <c r="E44" s="71">
        <v>0.78</v>
      </c>
      <c r="F44" s="71">
        <v>0.65500000000000003</v>
      </c>
    </row>
    <row r="45" spans="2:6" hidden="1" x14ac:dyDescent="0.25">
      <c r="B45" s="9">
        <v>15</v>
      </c>
      <c r="C45" s="71">
        <v>0.58199999999999996</v>
      </c>
      <c r="D45" s="71">
        <v>0.64200000000000002</v>
      </c>
      <c r="E45" s="71">
        <v>0.77500000000000002</v>
      </c>
      <c r="F45" s="71">
        <v>0.65</v>
      </c>
    </row>
    <row r="46" spans="2:6" hidden="1" x14ac:dyDescent="0.25">
      <c r="B46" s="9">
        <v>16</v>
      </c>
      <c r="C46" s="71">
        <v>0.56100000000000005</v>
      </c>
      <c r="D46" s="71">
        <v>0.622</v>
      </c>
      <c r="E46" s="71">
        <v>0.77</v>
      </c>
      <c r="F46" s="71">
        <v>0.64</v>
      </c>
    </row>
    <row r="47" spans="2:6" hidden="1" x14ac:dyDescent="0.25">
      <c r="B47" s="9">
        <v>17</v>
      </c>
      <c r="C47" s="71">
        <v>0.54</v>
      </c>
      <c r="D47" s="71">
        <v>0.60299999999999998</v>
      </c>
      <c r="E47" s="71">
        <v>0.76600000000000001</v>
      </c>
      <c r="F47" s="71">
        <v>0.63</v>
      </c>
    </row>
    <row r="48" spans="2:6" hidden="1" x14ac:dyDescent="0.25">
      <c r="B48" s="9">
        <v>18</v>
      </c>
      <c r="C48" s="71">
        <v>0.52100000000000002</v>
      </c>
      <c r="D48" s="71">
        <v>0.58499999999999996</v>
      </c>
      <c r="E48" s="71">
        <v>0.76200000000000001</v>
      </c>
      <c r="F48" s="71">
        <v>0.62</v>
      </c>
    </row>
    <row r="49" spans="2:6" hidden="1" x14ac:dyDescent="0.25">
      <c r="B49" s="9">
        <v>19</v>
      </c>
      <c r="C49" s="71">
        <v>0.502</v>
      </c>
      <c r="D49" s="71">
        <v>0.56699999999999995</v>
      </c>
      <c r="E49" s="71">
        <v>0.75800000000000001</v>
      </c>
      <c r="F49" s="71">
        <v>0.61</v>
      </c>
    </row>
    <row r="50" spans="2:6" ht="15.75" hidden="1" thickBot="1" x14ac:dyDescent="0.3">
      <c r="B50" s="10">
        <v>20</v>
      </c>
      <c r="C50" s="72">
        <v>0.48299999999999998</v>
      </c>
      <c r="D50" s="72">
        <v>0.55000000000000004</v>
      </c>
      <c r="E50" s="72">
        <v>0.754</v>
      </c>
      <c r="F50" s="72">
        <v>0.6</v>
      </c>
    </row>
    <row r="51" spans="2:6" hidden="1" x14ac:dyDescent="0.25"/>
    <row r="52" spans="2:6" ht="15.75" hidden="1" thickBot="1" x14ac:dyDescent="0.3"/>
    <row r="53" spans="2:6" ht="15.75" hidden="1" thickBot="1" x14ac:dyDescent="0.3">
      <c r="B53" s="259" t="s">
        <v>25</v>
      </c>
      <c r="C53" s="261" t="s">
        <v>103</v>
      </c>
      <c r="D53" s="262"/>
      <c r="E53" s="262"/>
    </row>
    <row r="54" spans="2:6" ht="15.75" hidden="1" thickBot="1" x14ac:dyDescent="0.3">
      <c r="B54" s="260"/>
      <c r="C54" s="73" t="s">
        <v>5</v>
      </c>
      <c r="D54" s="73" t="s">
        <v>9</v>
      </c>
      <c r="E54" s="73" t="s">
        <v>8</v>
      </c>
    </row>
    <row r="55" spans="2:6" hidden="1" x14ac:dyDescent="0.25">
      <c r="B55" s="9">
        <v>1</v>
      </c>
      <c r="C55" s="76">
        <v>1</v>
      </c>
      <c r="D55" s="76">
        <v>1</v>
      </c>
      <c r="E55" s="76">
        <v>1</v>
      </c>
    </row>
    <row r="56" spans="2:6" hidden="1" x14ac:dyDescent="0.25">
      <c r="B56" s="9">
        <v>2</v>
      </c>
      <c r="C56" s="77">
        <v>1.048</v>
      </c>
      <c r="D56" s="77">
        <v>1.0349999999999999</v>
      </c>
      <c r="E56" s="77">
        <v>1.0649999999999999</v>
      </c>
    </row>
    <row r="57" spans="2:6" hidden="1" x14ac:dyDescent="0.25">
      <c r="B57" s="9">
        <v>3</v>
      </c>
      <c r="C57" s="77">
        <v>1.1299999999999999</v>
      </c>
      <c r="D57" s="77">
        <v>1.08</v>
      </c>
      <c r="E57" s="77">
        <v>1.1299999999999999</v>
      </c>
    </row>
    <row r="58" spans="2:6" hidden="1" x14ac:dyDescent="0.25">
      <c r="B58" s="9">
        <v>4</v>
      </c>
      <c r="C58" s="77">
        <v>1.1579999999999999</v>
      </c>
      <c r="D58" s="77">
        <v>1.115</v>
      </c>
      <c r="E58" s="77">
        <v>1.147</v>
      </c>
    </row>
    <row r="59" spans="2:6" hidden="1" x14ac:dyDescent="0.25">
      <c r="B59" s="9">
        <v>5</v>
      </c>
      <c r="C59" s="77">
        <v>1.2</v>
      </c>
      <c r="D59" s="77">
        <v>1.1499999999999999</v>
      </c>
      <c r="E59" s="77">
        <v>1.1639999999999999</v>
      </c>
    </row>
    <row r="60" spans="2:6" hidden="1" x14ac:dyDescent="0.25">
      <c r="B60" s="9">
        <v>6</v>
      </c>
      <c r="C60" s="77">
        <v>1.242</v>
      </c>
      <c r="D60" s="77">
        <v>1.18</v>
      </c>
      <c r="E60" s="77">
        <v>1.181</v>
      </c>
    </row>
    <row r="61" spans="2:6" hidden="1" x14ac:dyDescent="0.25">
      <c r="B61" s="9">
        <v>7</v>
      </c>
      <c r="C61" s="77">
        <v>1.284</v>
      </c>
      <c r="D61" s="77">
        <v>1.22</v>
      </c>
      <c r="E61" s="77">
        <v>1.198</v>
      </c>
    </row>
    <row r="62" spans="2:6" hidden="1" x14ac:dyDescent="0.25">
      <c r="B62" s="9">
        <v>8</v>
      </c>
      <c r="C62" s="77">
        <v>1.3260000000000001</v>
      </c>
      <c r="D62" s="77">
        <v>1.2549999999999999</v>
      </c>
      <c r="E62" s="77">
        <v>1.22</v>
      </c>
    </row>
    <row r="63" spans="2:6" hidden="1" x14ac:dyDescent="0.25">
      <c r="B63" s="9">
        <v>9</v>
      </c>
      <c r="C63" s="77">
        <v>1.3680000000000001</v>
      </c>
      <c r="D63" s="77">
        <v>1.29</v>
      </c>
      <c r="E63" s="77">
        <v>1.232</v>
      </c>
    </row>
    <row r="64" spans="2:6" hidden="1" x14ac:dyDescent="0.25">
      <c r="B64" s="9">
        <v>10</v>
      </c>
      <c r="C64" s="77">
        <v>1.41</v>
      </c>
      <c r="D64" s="77">
        <v>1.325</v>
      </c>
      <c r="E64" s="77">
        <v>1.24</v>
      </c>
    </row>
    <row r="65" spans="2:5" hidden="1" x14ac:dyDescent="0.25">
      <c r="B65" s="9">
        <v>11</v>
      </c>
      <c r="C65" s="77">
        <v>1.4830000000000001</v>
      </c>
      <c r="D65" s="77">
        <v>1.3759999999999999</v>
      </c>
      <c r="E65" s="77">
        <v>1.254</v>
      </c>
    </row>
    <row r="66" spans="2:5" hidden="1" x14ac:dyDescent="0.25">
      <c r="B66" s="9">
        <v>12</v>
      </c>
      <c r="C66" s="77">
        <v>1.538</v>
      </c>
      <c r="D66" s="77">
        <v>1.419</v>
      </c>
      <c r="E66" s="77">
        <v>1.264</v>
      </c>
    </row>
    <row r="67" spans="2:5" hidden="1" x14ac:dyDescent="0.25">
      <c r="B67" s="9">
        <v>13</v>
      </c>
      <c r="C67" s="77">
        <v>1.5960000000000001</v>
      </c>
      <c r="D67" s="77">
        <v>1.464</v>
      </c>
      <c r="E67" s="77">
        <v>1.274</v>
      </c>
    </row>
    <row r="68" spans="2:5" hidden="1" x14ac:dyDescent="0.25">
      <c r="B68" s="9">
        <v>14</v>
      </c>
      <c r="C68" s="77">
        <v>1.657</v>
      </c>
      <c r="D68" s="77">
        <v>1.51</v>
      </c>
      <c r="E68" s="77">
        <v>1.2829999999999999</v>
      </c>
    </row>
    <row r="69" spans="2:5" hidden="1" x14ac:dyDescent="0.25">
      <c r="B69" s="9">
        <v>15</v>
      </c>
      <c r="C69" s="77">
        <v>1.7190000000000001</v>
      </c>
      <c r="D69" s="77">
        <v>1.5569999999999999</v>
      </c>
      <c r="E69" s="77">
        <v>1.2909999999999999</v>
      </c>
    </row>
    <row r="70" spans="2:5" hidden="1" x14ac:dyDescent="0.25">
      <c r="B70" s="9">
        <v>16</v>
      </c>
      <c r="C70" s="77">
        <v>1.784</v>
      </c>
      <c r="D70" s="77">
        <v>1.6060000000000001</v>
      </c>
      <c r="E70" s="77">
        <v>1.2989999999999999</v>
      </c>
    </row>
    <row r="71" spans="2:5" hidden="1" x14ac:dyDescent="0.25">
      <c r="B71" s="9">
        <v>17</v>
      </c>
      <c r="C71" s="77">
        <v>1.851</v>
      </c>
      <c r="D71" s="77">
        <v>1.657</v>
      </c>
      <c r="E71" s="77">
        <v>1.306</v>
      </c>
    </row>
    <row r="72" spans="2:5" hidden="1" x14ac:dyDescent="0.25">
      <c r="B72" s="9">
        <v>18</v>
      </c>
      <c r="C72" s="77">
        <v>1.921</v>
      </c>
      <c r="D72" s="77">
        <v>1.7090000000000001</v>
      </c>
      <c r="E72" s="77">
        <v>1.3129999999999999</v>
      </c>
    </row>
    <row r="73" spans="2:5" hidden="1" x14ac:dyDescent="0.25">
      <c r="B73" s="9">
        <v>19</v>
      </c>
      <c r="C73" s="77">
        <v>1.9930000000000001</v>
      </c>
      <c r="D73" s="77">
        <v>1.7629999999999999</v>
      </c>
      <c r="E73" s="77">
        <v>1.319</v>
      </c>
    </row>
    <row r="74" spans="2:5" hidden="1" x14ac:dyDescent="0.25">
      <c r="B74" s="9">
        <v>20</v>
      </c>
      <c r="C74" s="77">
        <v>2.0680000000000001</v>
      </c>
      <c r="D74" s="77">
        <v>1.819</v>
      </c>
      <c r="E74" s="77">
        <v>1.3260000000000001</v>
      </c>
    </row>
    <row r="75" spans="2:5" ht="15.75" hidden="1" thickBot="1" x14ac:dyDescent="0.3">
      <c r="B75" s="88" t="s">
        <v>104</v>
      </c>
      <c r="C75" s="89">
        <f>MROUND((C4*36)/(37-D4),B13)</f>
        <v>167</v>
      </c>
      <c r="D75" s="89">
        <f>MROUND((C5*36)/(37-D5),B13)</f>
        <v>132</v>
      </c>
      <c r="E75" s="90">
        <f>MROUND((C6*36)/(37-D6),B13)</f>
        <v>191</v>
      </c>
    </row>
  </sheetData>
  <sheetProtection algorithmName="SHA-512" hashValue="l/rkf7X3sm2a0IpAsf2S3BWCb5duqjIJHGfCbbEzbcNih8Z0L6WU7XEPN/aTpeInrf9bUQ8PCGTCghyOMBkK+w==" saltValue="QiQasfLeJZWckQHLUkLj9Q==" spinCount="100000" sheet="1" objects="1" scenarios="1"/>
  <mergeCells count="9">
    <mergeCell ref="L3:N3"/>
    <mergeCell ref="G2:G3"/>
    <mergeCell ref="H2:H3"/>
    <mergeCell ref="I2:I3"/>
    <mergeCell ref="B53:B54"/>
    <mergeCell ref="C53:E53"/>
    <mergeCell ref="B29:B30"/>
    <mergeCell ref="C29:F29"/>
    <mergeCell ref="B2:F2"/>
  </mergeCells>
  <conditionalFormatting sqref="H4:I10">
    <cfRule type="expression" dxfId="3" priority="1">
      <formula>$H4="Experto"</formula>
    </cfRule>
    <cfRule type="expression" dxfId="2" priority="2">
      <formula>$H4="Avanzado"</formula>
    </cfRule>
    <cfRule type="expression" dxfId="1" priority="3">
      <formula>$H4="Intermedio"</formula>
    </cfRule>
    <cfRule type="expression" dxfId="0" priority="4">
      <formula>$H4="Principiante"</formula>
    </cfRule>
  </conditionalFormatting>
  <dataValidations count="1">
    <dataValidation type="list" allowBlank="1" showInputMessage="1" showErrorMessage="1" sqref="B19" xr:uid="{00000000-0002-0000-0100-000000000000}">
      <formula1>$B$22:$B$23</formula1>
    </dataValidation>
  </dataValidations>
  <pageMargins left="0.7" right="0.7" top="0.75" bottom="0.75" header="0.3" footer="0.3"/>
  <pageSetup paperSize="9" orientation="portrait" r:id="rId1"/>
  <ignoredErrors>
    <ignoredError sqref="G9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  <pageSetUpPr fitToPage="1"/>
  </sheetPr>
  <dimension ref="B1:AC181"/>
  <sheetViews>
    <sheetView showGridLines="0" zoomScaleNormal="100" workbookViewId="0">
      <selection activeCell="F18" sqref="F18"/>
    </sheetView>
  </sheetViews>
  <sheetFormatPr baseColWidth="10" defaultRowHeight="15" x14ac:dyDescent="0.25"/>
  <cols>
    <col min="4" max="4" width="14.5703125" bestFit="1" customWidth="1"/>
    <col min="6" max="6" width="29.42578125" bestFit="1" customWidth="1"/>
    <col min="7" max="7" width="2" bestFit="1" customWidth="1"/>
    <col min="8" max="8" width="2" customWidth="1"/>
    <col min="9" max="9" width="3" style="1" bestFit="1" customWidth="1"/>
    <col min="10" max="10" width="4.85546875" bestFit="1" customWidth="1"/>
    <col min="11" max="11" width="18.28515625" bestFit="1" customWidth="1"/>
    <col min="12" max="12" width="6" bestFit="1" customWidth="1"/>
    <col min="13" max="13" width="13.7109375" bestFit="1" customWidth="1"/>
    <col min="14" max="15" width="13.7109375" customWidth="1"/>
    <col min="16" max="16" width="12.28515625" bestFit="1" customWidth="1"/>
    <col min="17" max="17" width="4" bestFit="1" customWidth="1"/>
    <col min="18" max="26" width="4" customWidth="1"/>
    <col min="27" max="27" width="5.85546875" customWidth="1"/>
    <col min="28" max="28" width="5.85546875" bestFit="1" customWidth="1"/>
    <col min="29" max="29" width="22.140625" customWidth="1"/>
    <col min="31" max="31" width="12.28515625" bestFit="1" customWidth="1"/>
  </cols>
  <sheetData>
    <row r="1" spans="2:29" ht="15.75" thickBot="1" x14ac:dyDescent="0.3"/>
    <row r="2" spans="2:29" ht="15.75" thickBot="1" x14ac:dyDescent="0.3">
      <c r="G2" s="286" t="s">
        <v>137</v>
      </c>
      <c r="H2" s="287"/>
      <c r="I2" s="287"/>
      <c r="J2" s="287"/>
      <c r="K2" s="287"/>
      <c r="L2" s="287"/>
      <c r="M2" s="287"/>
      <c r="N2" s="288"/>
      <c r="P2" s="281" t="s">
        <v>11</v>
      </c>
      <c r="Q2" s="282"/>
    </row>
    <row r="3" spans="2:29" ht="15.75" thickBot="1" x14ac:dyDescent="0.3">
      <c r="G3" s="289"/>
      <c r="H3" s="290"/>
      <c r="I3" s="290"/>
      <c r="J3" s="290"/>
      <c r="K3" s="290"/>
      <c r="L3" s="290"/>
      <c r="M3" s="290"/>
      <c r="N3" s="291"/>
      <c r="P3" s="15" t="str">
        <f>F16</f>
        <v>Sentadilla</v>
      </c>
      <c r="Q3" s="157">
        <f>'Calculadora RM'!E4</f>
        <v>178</v>
      </c>
    </row>
    <row r="4" spans="2:29" ht="15.75" thickBot="1" x14ac:dyDescent="0.3">
      <c r="G4" s="298" t="s">
        <v>133</v>
      </c>
      <c r="H4" s="299"/>
      <c r="I4" s="299"/>
      <c r="J4" s="299"/>
      <c r="K4" s="299"/>
      <c r="L4" s="299"/>
      <c r="M4" s="299"/>
      <c r="N4" s="300"/>
      <c r="P4" s="16" t="str">
        <f>F20</f>
        <v>Peso muerto</v>
      </c>
      <c r="Q4" s="158">
        <f>'Calculadora RM'!E6</f>
        <v>203</v>
      </c>
    </row>
    <row r="5" spans="2:29" ht="15.75" thickBot="1" x14ac:dyDescent="0.3">
      <c r="G5" s="298" t="s">
        <v>108</v>
      </c>
      <c r="H5" s="299"/>
      <c r="I5" s="299"/>
      <c r="J5" s="299"/>
      <c r="K5" s="299"/>
      <c r="L5" s="299"/>
      <c r="M5" s="299"/>
      <c r="N5" s="300"/>
      <c r="P5" s="16" t="str">
        <f>F17</f>
        <v>Press banca</v>
      </c>
      <c r="Q5" s="158">
        <f>'Calculadora RM'!E5</f>
        <v>133</v>
      </c>
    </row>
    <row r="6" spans="2:29" ht="15.75" thickBot="1" x14ac:dyDescent="0.3">
      <c r="G6" s="298" t="s">
        <v>109</v>
      </c>
      <c r="H6" s="299"/>
      <c r="I6" s="299"/>
      <c r="J6" s="299"/>
      <c r="K6" s="299"/>
      <c r="L6" s="299"/>
      <c r="M6" s="299"/>
      <c r="N6" s="300"/>
      <c r="P6" s="16" t="str">
        <f>F18</f>
        <v>Remo</v>
      </c>
      <c r="Q6" s="159">
        <f>'Calculadora RM'!E8</f>
        <v>105</v>
      </c>
    </row>
    <row r="7" spans="2:29" x14ac:dyDescent="0.25">
      <c r="P7" s="16" t="str">
        <f>F22</f>
        <v>Dominadas</v>
      </c>
      <c r="Q7" s="160">
        <f>'Calculadora RM'!E9+'Calculadora RM'!B16</f>
        <v>130</v>
      </c>
    </row>
    <row r="8" spans="2:29" x14ac:dyDescent="0.25">
      <c r="P8" s="16" t="str">
        <f>F21</f>
        <v>Press militar</v>
      </c>
      <c r="Q8" s="161">
        <f>'Calculadora RM'!E7</f>
        <v>70</v>
      </c>
    </row>
    <row r="9" spans="2:29" ht="15.75" thickBot="1" x14ac:dyDescent="0.3">
      <c r="P9" s="17" t="str">
        <f>F19</f>
        <v>Hip thrust</v>
      </c>
      <c r="Q9" s="162">
        <f>'Calculadora RM'!E10</f>
        <v>281</v>
      </c>
    </row>
    <row r="10" spans="2:29" ht="15.75" thickBot="1" x14ac:dyDescent="0.3"/>
    <row r="11" spans="2:29" ht="15.75" thickBot="1" x14ac:dyDescent="0.3">
      <c r="P11" s="301" t="s">
        <v>114</v>
      </c>
      <c r="Q11" s="302"/>
    </row>
    <row r="13" spans="2:29" ht="15.75" thickBot="1" x14ac:dyDescent="0.3"/>
    <row r="14" spans="2:29" x14ac:dyDescent="0.25">
      <c r="F14" s="347" t="s">
        <v>0</v>
      </c>
      <c r="G14" s="349" t="s">
        <v>13</v>
      </c>
      <c r="H14" s="350"/>
      <c r="I14" s="351"/>
      <c r="J14" s="347" t="s">
        <v>6</v>
      </c>
      <c r="K14" s="347" t="s">
        <v>111</v>
      </c>
      <c r="L14" s="347" t="s">
        <v>102</v>
      </c>
      <c r="M14" s="292" t="s">
        <v>15</v>
      </c>
      <c r="N14" s="293"/>
      <c r="O14" s="294"/>
      <c r="P14" s="303" t="s">
        <v>36</v>
      </c>
      <c r="Q14" s="304"/>
      <c r="R14" s="304"/>
      <c r="S14" s="304"/>
      <c r="T14" s="304"/>
      <c r="U14" s="304"/>
      <c r="V14" s="305"/>
      <c r="W14" s="305"/>
      <c r="X14" s="305"/>
      <c r="Y14" s="305"/>
      <c r="Z14" s="305"/>
      <c r="AA14" s="305"/>
      <c r="AB14" s="305"/>
      <c r="AC14" s="306"/>
    </row>
    <row r="15" spans="2:29" ht="15.75" thickBot="1" x14ac:dyDescent="0.3">
      <c r="F15" s="348"/>
      <c r="G15" s="352"/>
      <c r="H15" s="353"/>
      <c r="I15" s="354"/>
      <c r="J15" s="348"/>
      <c r="K15" s="348"/>
      <c r="L15" s="348"/>
      <c r="M15" s="7" t="s">
        <v>116</v>
      </c>
      <c r="N15" s="8" t="s">
        <v>14</v>
      </c>
      <c r="O15" s="138" t="s">
        <v>19</v>
      </c>
      <c r="P15" s="156" t="s">
        <v>7</v>
      </c>
      <c r="Q15" s="276" t="s">
        <v>6</v>
      </c>
      <c r="R15" s="277"/>
      <c r="S15" s="277"/>
      <c r="T15" s="277"/>
      <c r="U15" s="278"/>
      <c r="V15" s="279" t="s">
        <v>17</v>
      </c>
      <c r="W15" s="279"/>
      <c r="X15" s="279"/>
      <c r="Y15" s="279"/>
      <c r="Z15" s="280"/>
      <c r="AA15" s="137" t="s">
        <v>115</v>
      </c>
      <c r="AB15" s="136" t="s">
        <v>112</v>
      </c>
      <c r="AC15" s="139" t="s">
        <v>113</v>
      </c>
    </row>
    <row r="16" spans="2:29" x14ac:dyDescent="0.25">
      <c r="B16" s="321" t="s">
        <v>1</v>
      </c>
      <c r="C16" s="322"/>
      <c r="D16" s="283" t="s">
        <v>118</v>
      </c>
      <c r="E16" s="273" t="s">
        <v>105</v>
      </c>
      <c r="F16" s="205" t="s">
        <v>5</v>
      </c>
      <c r="G16" s="172">
        <v>2</v>
      </c>
      <c r="H16" s="173" t="s">
        <v>12</v>
      </c>
      <c r="I16" s="174">
        <v>8</v>
      </c>
      <c r="J16" s="175">
        <v>4</v>
      </c>
      <c r="K16" s="176">
        <f>LOOKUP($I16+$J16,'Calculadora RM'!$B$31:$B$50,'Calculadora RM'!$C$31:$C$50)</f>
        <v>0.65</v>
      </c>
      <c r="L16" s="177">
        <f>MROUND(PRODUCT($Q$3,K16),'Calculadora RM'!B13)</f>
        <v>116</v>
      </c>
      <c r="M16" s="105">
        <f>PRODUCT(G16,I16,L16)</f>
        <v>1856</v>
      </c>
      <c r="N16" s="106"/>
      <c r="O16" s="107"/>
      <c r="P16" s="140"/>
      <c r="Q16" s="148"/>
      <c r="R16" s="92"/>
      <c r="S16" s="92"/>
      <c r="T16" s="92"/>
      <c r="U16" s="149"/>
      <c r="V16" s="144"/>
      <c r="W16" s="92"/>
      <c r="X16" s="92"/>
      <c r="Y16" s="91"/>
      <c r="Z16" s="97"/>
      <c r="AA16" s="326"/>
      <c r="AB16" s="329"/>
      <c r="AC16" s="130"/>
    </row>
    <row r="17" spans="2:29" x14ac:dyDescent="0.25">
      <c r="B17" s="323"/>
      <c r="C17" s="324"/>
      <c r="D17" s="284"/>
      <c r="E17" s="274"/>
      <c r="F17" s="205" t="s">
        <v>9</v>
      </c>
      <c r="G17" s="178">
        <v>2</v>
      </c>
      <c r="H17" s="179" t="s">
        <v>12</v>
      </c>
      <c r="I17" s="180">
        <v>8</v>
      </c>
      <c r="J17" s="181">
        <v>4</v>
      </c>
      <c r="K17" s="182">
        <f>LOOKUP($I17+$J17,'Calculadora RM'!$B$31:$B$50,'Calculadora RM'!$D$31:$D$50)</f>
        <v>0.70499999999999996</v>
      </c>
      <c r="L17" s="183">
        <f>MROUND(PRODUCT($Q$5,K17),'Calculadora RM'!B13)</f>
        <v>94</v>
      </c>
      <c r="M17" s="108">
        <f t="shared" ref="M17:M63" si="0">PRODUCT(G17,I17,L17)</f>
        <v>1504</v>
      </c>
      <c r="N17" s="109"/>
      <c r="O17" s="110"/>
      <c r="P17" s="141"/>
      <c r="Q17" s="150"/>
      <c r="R17" s="101"/>
      <c r="S17" s="101"/>
      <c r="T17" s="101"/>
      <c r="U17" s="151"/>
      <c r="V17" s="145"/>
      <c r="W17" s="102"/>
      <c r="X17" s="102"/>
      <c r="Y17" s="101"/>
      <c r="Z17" s="98"/>
      <c r="AA17" s="327"/>
      <c r="AB17" s="330"/>
      <c r="AC17" s="131"/>
    </row>
    <row r="18" spans="2:29" x14ac:dyDescent="0.25">
      <c r="B18" s="323"/>
      <c r="C18" s="324"/>
      <c r="D18" s="284"/>
      <c r="E18" s="274"/>
      <c r="F18" s="205" t="s">
        <v>62</v>
      </c>
      <c r="G18" s="178">
        <v>2</v>
      </c>
      <c r="H18" s="179" t="s">
        <v>12</v>
      </c>
      <c r="I18" s="180">
        <v>8</v>
      </c>
      <c r="J18" s="181">
        <v>4</v>
      </c>
      <c r="K18" s="182">
        <f>LOOKUP($I18+$J18,'Calculadora RM'!$B$31:$B$50,'Calculadora RM'!$F$31:$F$50)</f>
        <v>0.67</v>
      </c>
      <c r="L18" s="183">
        <f>MROUND(PRODUCT($Q$6,K18),'Calculadora RM'!B13)</f>
        <v>70</v>
      </c>
      <c r="M18" s="108">
        <f t="shared" si="0"/>
        <v>1120</v>
      </c>
      <c r="N18" s="109">
        <f>SUM(M18)</f>
        <v>1120</v>
      </c>
      <c r="O18" s="110"/>
      <c r="P18" s="141"/>
      <c r="Q18" s="150"/>
      <c r="R18" s="101"/>
      <c r="S18" s="101"/>
      <c r="T18" s="101"/>
      <c r="U18" s="151"/>
      <c r="V18" s="145"/>
      <c r="W18" s="102"/>
      <c r="X18" s="102"/>
      <c r="Y18" s="101"/>
      <c r="Z18" s="98"/>
      <c r="AA18" s="327"/>
      <c r="AB18" s="330"/>
      <c r="AC18" s="131"/>
    </row>
    <row r="19" spans="2:29" ht="15.75" thickBot="1" x14ac:dyDescent="0.3">
      <c r="B19" s="323"/>
      <c r="C19" s="324"/>
      <c r="D19" s="284"/>
      <c r="E19" s="275"/>
      <c r="F19" s="206" t="s">
        <v>18</v>
      </c>
      <c r="G19" s="184">
        <v>2</v>
      </c>
      <c r="H19" s="185" t="s">
        <v>12</v>
      </c>
      <c r="I19" s="186">
        <v>12</v>
      </c>
      <c r="J19" s="187">
        <v>3</v>
      </c>
      <c r="K19" s="188">
        <f>LOOKUP($I19+$J19,'Calculadora RM'!$B$31:$B$50,'Calculadora RM'!$F$31:$F$50)</f>
        <v>0.65</v>
      </c>
      <c r="L19" s="189">
        <f>MROUND(PRODUCT($Q$9,K19),'Calculadora RM'!B13)</f>
        <v>183</v>
      </c>
      <c r="M19" s="111">
        <f>PRODUCT(G19,I19,L19)</f>
        <v>4392</v>
      </c>
      <c r="N19" s="109"/>
      <c r="O19" s="112"/>
      <c r="P19" s="142"/>
      <c r="Q19" s="152"/>
      <c r="R19" s="94"/>
      <c r="S19" s="94"/>
      <c r="T19" s="94"/>
      <c r="U19" s="153"/>
      <c r="V19" s="146"/>
      <c r="W19" s="94"/>
      <c r="X19" s="94"/>
      <c r="Y19" s="103"/>
      <c r="Z19" s="99"/>
      <c r="AA19" s="328"/>
      <c r="AB19" s="331"/>
      <c r="AC19" s="132"/>
    </row>
    <row r="20" spans="2:29" x14ac:dyDescent="0.25">
      <c r="B20" s="323"/>
      <c r="C20" s="324"/>
      <c r="D20" s="284"/>
      <c r="E20" s="268" t="s">
        <v>106</v>
      </c>
      <c r="F20" s="104" t="s">
        <v>8</v>
      </c>
      <c r="G20" s="172">
        <v>2</v>
      </c>
      <c r="H20" s="173" t="s">
        <v>12</v>
      </c>
      <c r="I20" s="174">
        <v>6</v>
      </c>
      <c r="J20" s="175">
        <v>4</v>
      </c>
      <c r="K20" s="202">
        <f>LOOKUP($I20+$J20,'Calculadora RM'!$B$31:$B$50,'Calculadora RM'!$E$31:$E$50)</f>
        <v>0.80600000000000005</v>
      </c>
      <c r="L20" s="177">
        <f>MROUND(PRODUCT($Q$4,K20),'Calculadora RM'!B13)</f>
        <v>164</v>
      </c>
      <c r="M20" s="113">
        <f t="shared" si="0"/>
        <v>1968</v>
      </c>
      <c r="N20" s="109">
        <f>SUM(M20)</f>
        <v>1968</v>
      </c>
      <c r="O20" s="112"/>
      <c r="P20" s="140"/>
      <c r="Q20" s="148"/>
      <c r="R20" s="92"/>
      <c r="S20" s="92"/>
      <c r="T20" s="92"/>
      <c r="U20" s="149"/>
      <c r="V20" s="144"/>
      <c r="W20" s="92"/>
      <c r="X20" s="92"/>
      <c r="Y20" s="95"/>
      <c r="Z20" s="97"/>
      <c r="AA20" s="326"/>
      <c r="AB20" s="329"/>
      <c r="AC20" s="130"/>
    </row>
    <row r="21" spans="2:29" x14ac:dyDescent="0.25">
      <c r="B21" s="323"/>
      <c r="C21" s="324"/>
      <c r="D21" s="284"/>
      <c r="E21" s="269"/>
      <c r="F21" s="205" t="s">
        <v>16</v>
      </c>
      <c r="G21" s="178">
        <v>2</v>
      </c>
      <c r="H21" s="179" t="s">
        <v>12</v>
      </c>
      <c r="I21" s="180">
        <v>8</v>
      </c>
      <c r="J21" s="181">
        <v>4</v>
      </c>
      <c r="K21" s="182">
        <f>LOOKUP($I21+$J21,'Calculadora RM'!$B$31:$B$50,'Calculadora RM'!$F$31:$F$50)</f>
        <v>0.67</v>
      </c>
      <c r="L21" s="183">
        <f>MROUND(PRODUCT($Q$8,K21),'Calculadora RM'!B13)</f>
        <v>47</v>
      </c>
      <c r="M21" s="114">
        <f t="shared" si="0"/>
        <v>752</v>
      </c>
      <c r="N21" s="109">
        <f>SUM(M21)</f>
        <v>752</v>
      </c>
      <c r="O21" s="110"/>
      <c r="P21" s="141"/>
      <c r="Q21" s="150"/>
      <c r="R21" s="101"/>
      <c r="S21" s="101"/>
      <c r="T21" s="101"/>
      <c r="U21" s="151"/>
      <c r="V21" s="145"/>
      <c r="W21" s="102"/>
      <c r="X21" s="102"/>
      <c r="Y21" s="101"/>
      <c r="Z21" s="98"/>
      <c r="AA21" s="327"/>
      <c r="AB21" s="330"/>
      <c r="AC21" s="131"/>
    </row>
    <row r="22" spans="2:29" ht="15.75" thickBot="1" x14ac:dyDescent="0.3">
      <c r="B22" s="323"/>
      <c r="C22" s="324"/>
      <c r="D22" s="284"/>
      <c r="E22" s="269"/>
      <c r="F22" s="205" t="s">
        <v>10</v>
      </c>
      <c r="G22" s="178">
        <v>2</v>
      </c>
      <c r="H22" s="179" t="s">
        <v>12</v>
      </c>
      <c r="I22" s="241"/>
      <c r="J22" s="191">
        <v>4</v>
      </c>
      <c r="K22" s="182"/>
      <c r="L22" s="183">
        <v>0</v>
      </c>
      <c r="M22" s="115">
        <f>PRODUCT(G22,I22,'Calculadora RM'!B16)</f>
        <v>180</v>
      </c>
      <c r="N22" s="109">
        <f>SUM(M22)</f>
        <v>180</v>
      </c>
      <c r="O22" s="110"/>
      <c r="P22" s="141"/>
      <c r="Q22" s="150"/>
      <c r="R22" s="101"/>
      <c r="S22" s="101"/>
      <c r="T22" s="101"/>
      <c r="U22" s="151"/>
      <c r="V22" s="145"/>
      <c r="W22" s="102"/>
      <c r="X22" s="102"/>
      <c r="Y22" s="101"/>
      <c r="Z22" s="98"/>
      <c r="AA22" s="327"/>
      <c r="AB22" s="330"/>
      <c r="AC22" s="131"/>
    </row>
    <row r="23" spans="2:29" x14ac:dyDescent="0.25">
      <c r="B23" s="323"/>
      <c r="C23" s="324"/>
      <c r="D23" s="284"/>
      <c r="E23" s="270" t="s">
        <v>107</v>
      </c>
      <c r="F23" s="204" t="str">
        <f>F16</f>
        <v>Sentadilla</v>
      </c>
      <c r="G23" s="172">
        <v>3</v>
      </c>
      <c r="H23" s="173" t="s">
        <v>12</v>
      </c>
      <c r="I23" s="174">
        <v>8</v>
      </c>
      <c r="J23" s="175">
        <v>4</v>
      </c>
      <c r="K23" s="202">
        <f>LOOKUP($I23+$J23,'Calculadora RM'!$B$31:$B$50,'Calculadora RM'!$C$31:$C$50)</f>
        <v>0.65</v>
      </c>
      <c r="L23" s="177">
        <f>MROUND(PRODUCT($Q$3,K23),'Calculadora RM'!B13)</f>
        <v>116</v>
      </c>
      <c r="M23" s="116">
        <f t="shared" si="0"/>
        <v>2784</v>
      </c>
      <c r="N23" s="109">
        <f>SUM(M16,M23)</f>
        <v>4640</v>
      </c>
      <c r="O23" s="112"/>
      <c r="P23" s="140"/>
      <c r="Q23" s="148"/>
      <c r="R23" s="92"/>
      <c r="S23" s="92"/>
      <c r="T23" s="92"/>
      <c r="U23" s="149"/>
      <c r="V23" s="144"/>
      <c r="W23" s="92"/>
      <c r="X23" s="92"/>
      <c r="Y23" s="91"/>
      <c r="Z23" s="97"/>
      <c r="AA23" s="326"/>
      <c r="AB23" s="329"/>
      <c r="AC23" s="130"/>
    </row>
    <row r="24" spans="2:29" x14ac:dyDescent="0.25">
      <c r="B24" s="323"/>
      <c r="C24" s="324"/>
      <c r="D24" s="284"/>
      <c r="E24" s="271"/>
      <c r="F24" s="192" t="str">
        <f>F17</f>
        <v>Press banca</v>
      </c>
      <c r="G24" s="178">
        <v>3</v>
      </c>
      <c r="H24" s="179" t="s">
        <v>12</v>
      </c>
      <c r="I24" s="180">
        <v>8</v>
      </c>
      <c r="J24" s="181">
        <v>4</v>
      </c>
      <c r="K24" s="182">
        <f>LOOKUP($I24+$J24,'Calculadora RM'!$B$31:$B$50,'Calculadora RM'!$D$31:$D$50)</f>
        <v>0.70499999999999996</v>
      </c>
      <c r="L24" s="183">
        <f>MROUND(PRODUCT($Q$5,K24),'Calculadora RM'!B13)</f>
        <v>94</v>
      </c>
      <c r="M24" s="116">
        <f t="shared" si="0"/>
        <v>2256</v>
      </c>
      <c r="N24" s="109">
        <f>SUM(M17,M24)</f>
        <v>3760</v>
      </c>
      <c r="O24" s="110"/>
      <c r="P24" s="141"/>
      <c r="Q24" s="150"/>
      <c r="R24" s="101"/>
      <c r="S24" s="101"/>
      <c r="T24" s="101"/>
      <c r="U24" s="151"/>
      <c r="V24" s="145"/>
      <c r="W24" s="102"/>
      <c r="X24" s="102"/>
      <c r="Y24" s="101"/>
      <c r="Z24" s="98"/>
      <c r="AA24" s="327"/>
      <c r="AB24" s="330"/>
      <c r="AC24" s="131"/>
    </row>
    <row r="25" spans="2:29" x14ac:dyDescent="0.25">
      <c r="B25" s="323"/>
      <c r="C25" s="324"/>
      <c r="D25" s="284"/>
      <c r="E25" s="271"/>
      <c r="F25" s="205" t="s">
        <v>136</v>
      </c>
      <c r="G25" s="178">
        <v>2</v>
      </c>
      <c r="H25" s="179" t="s">
        <v>12</v>
      </c>
      <c r="I25" s="180">
        <v>12</v>
      </c>
      <c r="J25" s="181">
        <v>3</v>
      </c>
      <c r="K25" s="182"/>
      <c r="L25" s="183"/>
      <c r="M25" s="116"/>
      <c r="N25" s="109"/>
      <c r="O25" s="110"/>
      <c r="P25" s="141"/>
      <c r="Q25" s="150"/>
      <c r="R25" s="101"/>
      <c r="S25" s="101"/>
      <c r="T25" s="101"/>
      <c r="U25" s="151"/>
      <c r="V25" s="145"/>
      <c r="W25" s="102"/>
      <c r="X25" s="102"/>
      <c r="Y25" s="101"/>
      <c r="Z25" s="98"/>
      <c r="AA25" s="327"/>
      <c r="AB25" s="330"/>
      <c r="AC25" s="131"/>
    </row>
    <row r="26" spans="2:29" ht="15.75" thickBot="1" x14ac:dyDescent="0.3">
      <c r="B26" s="323"/>
      <c r="C26" s="324"/>
      <c r="D26" s="285"/>
      <c r="E26" s="272"/>
      <c r="F26" s="194" t="str">
        <f>F19</f>
        <v>Hip thrust</v>
      </c>
      <c r="G26" s="184">
        <v>2</v>
      </c>
      <c r="H26" s="185" t="s">
        <v>12</v>
      </c>
      <c r="I26" s="186">
        <v>8</v>
      </c>
      <c r="J26" s="187">
        <v>4</v>
      </c>
      <c r="K26" s="203">
        <f>LOOKUP($I26+$J26,'Calculadora RM'!$B$31:$B$50,'Calculadora RM'!$F$31:$F$50)</f>
        <v>0.67</v>
      </c>
      <c r="L26" s="189">
        <f>MROUND(PRODUCT($Q$9,K26),'Calculadora RM'!B13)</f>
        <v>188</v>
      </c>
      <c r="M26" s="117">
        <f>PRODUCT(G26,I26,L26)</f>
        <v>3008</v>
      </c>
      <c r="N26" s="118">
        <f>SUM(M26,M19)</f>
        <v>7400</v>
      </c>
      <c r="O26" s="110"/>
      <c r="P26" s="142"/>
      <c r="Q26" s="152"/>
      <c r="R26" s="94"/>
      <c r="S26" s="94"/>
      <c r="T26" s="94"/>
      <c r="U26" s="153"/>
      <c r="V26" s="146"/>
      <c r="W26" s="94"/>
      <c r="X26" s="94"/>
      <c r="Y26" s="103"/>
      <c r="Z26" s="99"/>
      <c r="AA26" s="328"/>
      <c r="AB26" s="331"/>
      <c r="AC26" s="132"/>
    </row>
    <row r="27" spans="2:29" x14ac:dyDescent="0.25">
      <c r="B27" s="323"/>
      <c r="C27" s="324"/>
      <c r="D27" s="295" t="s">
        <v>119</v>
      </c>
      <c r="E27" s="273" t="s">
        <v>105</v>
      </c>
      <c r="F27" s="204" t="str">
        <f>F16</f>
        <v>Sentadilla</v>
      </c>
      <c r="G27" s="172">
        <v>3</v>
      </c>
      <c r="H27" s="173" t="s">
        <v>12</v>
      </c>
      <c r="I27" s="174">
        <v>8</v>
      </c>
      <c r="J27" s="175">
        <v>2</v>
      </c>
      <c r="K27" s="202">
        <f>LOOKUP($I27+$J27,'Calculadora RM'!$B$31:$B$50,'Calculadora RM'!$C$31:$C$50)</f>
        <v>0.70899999999999996</v>
      </c>
      <c r="L27" s="177">
        <f>MROUND(PRODUCT($Q$3,K27),'Calculadora RM'!B13)</f>
        <v>126</v>
      </c>
      <c r="M27" s="105">
        <f t="shared" si="0"/>
        <v>3024</v>
      </c>
      <c r="N27" s="119"/>
      <c r="O27" s="112"/>
      <c r="P27" s="140"/>
      <c r="Q27" s="148"/>
      <c r="R27" s="92"/>
      <c r="S27" s="92"/>
      <c r="T27" s="92"/>
      <c r="U27" s="149"/>
      <c r="V27" s="144"/>
      <c r="W27" s="92"/>
      <c r="X27" s="92"/>
      <c r="Y27" s="101"/>
      <c r="Z27" s="97"/>
      <c r="AA27" s="326"/>
      <c r="AB27" s="329"/>
      <c r="AC27" s="130"/>
    </row>
    <row r="28" spans="2:29" x14ac:dyDescent="0.25">
      <c r="B28" s="323"/>
      <c r="C28" s="324"/>
      <c r="D28" s="296"/>
      <c r="E28" s="274"/>
      <c r="F28" s="192" t="str">
        <f>F17</f>
        <v>Press banca</v>
      </c>
      <c r="G28" s="178">
        <v>3</v>
      </c>
      <c r="H28" s="179" t="s">
        <v>12</v>
      </c>
      <c r="I28" s="180">
        <v>8</v>
      </c>
      <c r="J28" s="181">
        <v>2</v>
      </c>
      <c r="K28" s="182">
        <f>LOOKUP($I28+$J28,'Calculadora RM'!$B$31:$B$50,'Calculadora RM'!$D$31:$D$50)</f>
        <v>0.755</v>
      </c>
      <c r="L28" s="183">
        <f>MROUND(PRODUCT($Q$5,K28),'Calculadora RM'!B13)</f>
        <v>100</v>
      </c>
      <c r="M28" s="108">
        <f t="shared" si="0"/>
        <v>2400</v>
      </c>
      <c r="N28" s="120"/>
      <c r="O28" s="110"/>
      <c r="P28" s="141"/>
      <c r="Q28" s="150"/>
      <c r="R28" s="101"/>
      <c r="S28" s="101"/>
      <c r="T28" s="101"/>
      <c r="U28" s="151"/>
      <c r="V28" s="145"/>
      <c r="W28" s="102"/>
      <c r="X28" s="102"/>
      <c r="Y28" s="101"/>
      <c r="Z28" s="98"/>
      <c r="AA28" s="327"/>
      <c r="AB28" s="330"/>
      <c r="AC28" s="131"/>
    </row>
    <row r="29" spans="2:29" x14ac:dyDescent="0.25">
      <c r="B29" s="323"/>
      <c r="C29" s="324"/>
      <c r="D29" s="296"/>
      <c r="E29" s="274"/>
      <c r="F29" s="192" t="str">
        <f>F18</f>
        <v>Remo</v>
      </c>
      <c r="G29" s="178">
        <v>3</v>
      </c>
      <c r="H29" s="179" t="s">
        <v>12</v>
      </c>
      <c r="I29" s="180">
        <v>8</v>
      </c>
      <c r="J29" s="181">
        <v>3</v>
      </c>
      <c r="K29" s="182">
        <f>LOOKUP($I29+$J29,'Calculadora RM'!$B$31:$B$50,'Calculadora RM'!$F$31:$F$50)</f>
        <v>0.7</v>
      </c>
      <c r="L29" s="183">
        <f>MROUND(PRODUCT($Q$6,K29),'Calculadora RM'!B13)</f>
        <v>74</v>
      </c>
      <c r="M29" s="108">
        <f t="shared" si="0"/>
        <v>1776</v>
      </c>
      <c r="N29" s="120">
        <f>SUM(M29)</f>
        <v>1776</v>
      </c>
      <c r="O29" s="110"/>
      <c r="P29" s="141"/>
      <c r="Q29" s="150"/>
      <c r="R29" s="101"/>
      <c r="S29" s="101"/>
      <c r="T29" s="101"/>
      <c r="U29" s="151"/>
      <c r="V29" s="145"/>
      <c r="W29" s="102"/>
      <c r="X29" s="102"/>
      <c r="Y29" s="101"/>
      <c r="Z29" s="98"/>
      <c r="AA29" s="327"/>
      <c r="AB29" s="330"/>
      <c r="AC29" s="131"/>
    </row>
    <row r="30" spans="2:29" ht="15.75" thickBot="1" x14ac:dyDescent="0.3">
      <c r="B30" s="323"/>
      <c r="C30" s="324"/>
      <c r="D30" s="296"/>
      <c r="E30" s="274"/>
      <c r="F30" s="192" t="str">
        <f>F19</f>
        <v>Hip thrust</v>
      </c>
      <c r="G30" s="178">
        <v>2</v>
      </c>
      <c r="H30" s="179" t="s">
        <v>12</v>
      </c>
      <c r="I30" s="180">
        <v>12</v>
      </c>
      <c r="J30" s="181">
        <v>3</v>
      </c>
      <c r="K30" s="182">
        <f>LOOKUP($I30+$J30,'Calculadora RM'!$B$31:$B$50,'Calculadora RM'!$F$31:$F$50)</f>
        <v>0.65</v>
      </c>
      <c r="L30" s="183">
        <f>MROUND(PRODUCT($Q$9,K30),'Calculadora RM'!B13)</f>
        <v>183</v>
      </c>
      <c r="M30" s="108">
        <f>PRODUCT(G30,I30,L30)</f>
        <v>4392</v>
      </c>
      <c r="N30" s="120"/>
      <c r="O30" s="110"/>
      <c r="P30" s="141"/>
      <c r="Q30" s="150"/>
      <c r="R30" s="101"/>
      <c r="S30" s="101"/>
      <c r="T30" s="101"/>
      <c r="U30" s="151"/>
      <c r="V30" s="145"/>
      <c r="W30" s="102"/>
      <c r="X30" s="102"/>
      <c r="Y30" s="93"/>
      <c r="Z30" s="98"/>
      <c r="AA30" s="327"/>
      <c r="AB30" s="330"/>
      <c r="AC30" s="131"/>
    </row>
    <row r="31" spans="2:29" x14ac:dyDescent="0.25">
      <c r="B31" s="323"/>
      <c r="C31" s="324"/>
      <c r="D31" s="296"/>
      <c r="E31" s="268" t="s">
        <v>106</v>
      </c>
      <c r="F31" s="204" t="str">
        <f>F16</f>
        <v>Sentadilla</v>
      </c>
      <c r="G31" s="172">
        <v>3</v>
      </c>
      <c r="H31" s="173" t="s">
        <v>12</v>
      </c>
      <c r="I31" s="174">
        <v>8</v>
      </c>
      <c r="J31" s="175">
        <v>2</v>
      </c>
      <c r="K31" s="202">
        <f>LOOKUP($I31+$J31,'Calculadora RM'!$B$31:$B$50,'Calculadora RM'!$C$31:$C$50)</f>
        <v>0.70899999999999996</v>
      </c>
      <c r="L31" s="177">
        <f>MROUND(PRODUCT($Q$3,K31),'Calculadora RM'!B13)</f>
        <v>126</v>
      </c>
      <c r="M31" s="113">
        <f t="shared" si="0"/>
        <v>3024</v>
      </c>
      <c r="N31" s="120"/>
      <c r="O31" s="112"/>
      <c r="P31" s="140"/>
      <c r="Q31" s="148"/>
      <c r="R31" s="92"/>
      <c r="S31" s="92"/>
      <c r="T31" s="92"/>
      <c r="U31" s="149"/>
      <c r="V31" s="144"/>
      <c r="W31" s="92"/>
      <c r="X31" s="92"/>
      <c r="Y31" s="101"/>
      <c r="Z31" s="97"/>
      <c r="AA31" s="326"/>
      <c r="AB31" s="329"/>
      <c r="AC31" s="130"/>
    </row>
    <row r="32" spans="2:29" x14ac:dyDescent="0.25">
      <c r="B32" s="323"/>
      <c r="C32" s="324"/>
      <c r="D32" s="296"/>
      <c r="E32" s="269"/>
      <c r="F32" s="192" t="str">
        <f>F19</f>
        <v>Hip thrust</v>
      </c>
      <c r="G32" s="178">
        <v>2</v>
      </c>
      <c r="H32" s="179" t="s">
        <v>12</v>
      </c>
      <c r="I32" s="180">
        <v>8</v>
      </c>
      <c r="J32" s="181">
        <v>3</v>
      </c>
      <c r="K32" s="182">
        <f>LOOKUP($I32+$J32,'Calculadora RM'!$B$31:$B$50,'Calculadora RM'!$F$31:$F$50)</f>
        <v>0.7</v>
      </c>
      <c r="L32" s="183">
        <f>MROUND(PRODUCT($Q$9,K32),'Calculadora RM'!B13)</f>
        <v>197</v>
      </c>
      <c r="M32" s="114">
        <f>PRODUCT(G32,I32,L32)</f>
        <v>3152</v>
      </c>
      <c r="N32" s="120">
        <f>SUM(M32,M30)</f>
        <v>7544</v>
      </c>
      <c r="O32" s="110"/>
      <c r="P32" s="141"/>
      <c r="Q32" s="150"/>
      <c r="R32" s="101"/>
      <c r="S32" s="101"/>
      <c r="T32" s="101"/>
      <c r="U32" s="151"/>
      <c r="V32" s="145"/>
      <c r="W32" s="102"/>
      <c r="X32" s="102"/>
      <c r="Y32" s="101"/>
      <c r="Z32" s="98"/>
      <c r="AA32" s="327"/>
      <c r="AB32" s="330"/>
      <c r="AC32" s="131"/>
    </row>
    <row r="33" spans="2:29" x14ac:dyDescent="0.25">
      <c r="B33" s="323"/>
      <c r="C33" s="324"/>
      <c r="D33" s="296"/>
      <c r="E33" s="269"/>
      <c r="F33" s="192" t="str">
        <f>F21</f>
        <v>Press militar</v>
      </c>
      <c r="G33" s="178">
        <v>3</v>
      </c>
      <c r="H33" s="179" t="s">
        <v>12</v>
      </c>
      <c r="I33" s="180">
        <v>8</v>
      </c>
      <c r="J33" s="181">
        <v>3</v>
      </c>
      <c r="K33" s="182">
        <f>LOOKUP($I33+$J33,'Calculadora RM'!$B$31:$B$50,'Calculadora RM'!$F$31:$F$50)</f>
        <v>0.7</v>
      </c>
      <c r="L33" s="183">
        <f>MROUND(PRODUCT($Q$8,K33),'Calculadora RM'!B13)</f>
        <v>49</v>
      </c>
      <c r="M33" s="114">
        <f t="shared" si="0"/>
        <v>1176</v>
      </c>
      <c r="N33" s="120">
        <f>SUM(M33)</f>
        <v>1176</v>
      </c>
      <c r="O33" s="110"/>
      <c r="P33" s="141"/>
      <c r="Q33" s="150"/>
      <c r="R33" s="101"/>
      <c r="S33" s="101"/>
      <c r="T33" s="101"/>
      <c r="U33" s="151"/>
      <c r="V33" s="145"/>
      <c r="W33" s="102"/>
      <c r="X33" s="102"/>
      <c r="Y33" s="101"/>
      <c r="Z33" s="98"/>
      <c r="AA33" s="327"/>
      <c r="AB33" s="330"/>
      <c r="AC33" s="131"/>
    </row>
    <row r="34" spans="2:29" ht="15.75" thickBot="1" x14ac:dyDescent="0.3">
      <c r="B34" s="323"/>
      <c r="C34" s="324"/>
      <c r="D34" s="296"/>
      <c r="E34" s="269"/>
      <c r="F34" s="192" t="str">
        <f>F22</f>
        <v>Dominadas</v>
      </c>
      <c r="G34" s="178">
        <v>3</v>
      </c>
      <c r="H34" s="179" t="s">
        <v>12</v>
      </c>
      <c r="I34" s="241"/>
      <c r="J34" s="191">
        <v>3</v>
      </c>
      <c r="K34" s="182"/>
      <c r="L34" s="183">
        <v>0</v>
      </c>
      <c r="M34" s="115">
        <f>PRODUCT(G34,I34,'Calculadora RM'!B16)</f>
        <v>270</v>
      </c>
      <c r="N34" s="120">
        <f>SUM(M34)</f>
        <v>270</v>
      </c>
      <c r="O34" s="110"/>
      <c r="P34" s="141"/>
      <c r="Q34" s="150"/>
      <c r="R34" s="101"/>
      <c r="S34" s="101"/>
      <c r="T34" s="101"/>
      <c r="U34" s="151"/>
      <c r="V34" s="145"/>
      <c r="W34" s="102"/>
      <c r="X34" s="102"/>
      <c r="Y34" s="93"/>
      <c r="Z34" s="98"/>
      <c r="AA34" s="327"/>
      <c r="AB34" s="330"/>
      <c r="AC34" s="131"/>
    </row>
    <row r="35" spans="2:29" x14ac:dyDescent="0.25">
      <c r="B35" s="323"/>
      <c r="C35" s="324"/>
      <c r="D35" s="296"/>
      <c r="E35" s="270" t="s">
        <v>107</v>
      </c>
      <c r="F35" s="204" t="str">
        <f>F16</f>
        <v>Sentadilla</v>
      </c>
      <c r="G35" s="172">
        <v>3</v>
      </c>
      <c r="H35" s="173" t="s">
        <v>12</v>
      </c>
      <c r="I35" s="174">
        <v>8</v>
      </c>
      <c r="J35" s="175">
        <v>4</v>
      </c>
      <c r="K35" s="202">
        <f>LOOKUP($I35+$J35,'Calculadora RM'!$B$31:$B$50,'Calculadora RM'!$C$31:$C$50)</f>
        <v>0.65</v>
      </c>
      <c r="L35" s="177">
        <f>MROUND(PRODUCT($Q$3,K35),'Calculadora RM'!B13)</f>
        <v>116</v>
      </c>
      <c r="M35" s="116">
        <f t="shared" si="0"/>
        <v>2784</v>
      </c>
      <c r="N35" s="120">
        <f>SUM(M27,M31,M35)</f>
        <v>8832</v>
      </c>
      <c r="O35" s="112"/>
      <c r="P35" s="140"/>
      <c r="Q35" s="148"/>
      <c r="R35" s="92"/>
      <c r="S35" s="92"/>
      <c r="T35" s="92"/>
      <c r="U35" s="149"/>
      <c r="V35" s="144"/>
      <c r="W35" s="92"/>
      <c r="X35" s="92"/>
      <c r="Y35" s="101"/>
      <c r="Z35" s="97"/>
      <c r="AA35" s="326"/>
      <c r="AB35" s="329"/>
      <c r="AC35" s="130"/>
    </row>
    <row r="36" spans="2:29" x14ac:dyDescent="0.25">
      <c r="B36" s="323"/>
      <c r="C36" s="324"/>
      <c r="D36" s="296"/>
      <c r="E36" s="271"/>
      <c r="F36" s="192" t="str">
        <f>F20</f>
        <v>Peso muerto</v>
      </c>
      <c r="G36" s="178">
        <v>2</v>
      </c>
      <c r="H36" s="179" t="s">
        <v>12</v>
      </c>
      <c r="I36" s="180">
        <v>6</v>
      </c>
      <c r="J36" s="181">
        <v>3</v>
      </c>
      <c r="K36" s="182">
        <f>LOOKUP($I36+$J36,'Calculadora RM'!$B$31:$B$50,'Calculadora RM'!$E$31:$E$50)</f>
        <v>0.81200000000000006</v>
      </c>
      <c r="L36" s="183">
        <f>MROUND(PRODUCT($Q$4,K36),'Calculadora RM'!B13)</f>
        <v>165</v>
      </c>
      <c r="M36" s="116">
        <f t="shared" si="0"/>
        <v>1980</v>
      </c>
      <c r="N36" s="120">
        <f>SUM(M36)</f>
        <v>1980</v>
      </c>
      <c r="O36" s="110"/>
      <c r="P36" s="141"/>
      <c r="Q36" s="150"/>
      <c r="R36" s="101"/>
      <c r="S36" s="101"/>
      <c r="T36" s="101"/>
      <c r="U36" s="151"/>
      <c r="V36" s="145"/>
      <c r="W36" s="102"/>
      <c r="X36" s="102"/>
      <c r="Y36" s="101"/>
      <c r="Z36" s="98"/>
      <c r="AA36" s="327"/>
      <c r="AB36" s="330"/>
      <c r="AC36" s="131"/>
    </row>
    <row r="37" spans="2:29" x14ac:dyDescent="0.25">
      <c r="B37" s="323"/>
      <c r="C37" s="324"/>
      <c r="D37" s="296"/>
      <c r="E37" s="271"/>
      <c r="F37" s="192" t="str">
        <f>F17</f>
        <v>Press banca</v>
      </c>
      <c r="G37" s="178">
        <v>3</v>
      </c>
      <c r="H37" s="179" t="s">
        <v>12</v>
      </c>
      <c r="I37" s="180">
        <v>8</v>
      </c>
      <c r="J37" s="181">
        <v>2</v>
      </c>
      <c r="K37" s="182">
        <f>LOOKUP($I37+$J37,'Calculadora RM'!$B$31:$B$50,'Calculadora RM'!$D$31:$D$50)</f>
        <v>0.755</v>
      </c>
      <c r="L37" s="183">
        <f>MROUND(PRODUCT($Q$5,K37),'Calculadora RM'!B13)</f>
        <v>100</v>
      </c>
      <c r="M37" s="116">
        <f t="shared" si="0"/>
        <v>2400</v>
      </c>
      <c r="N37" s="120">
        <f>SUM(M28,M37)</f>
        <v>4800</v>
      </c>
      <c r="O37" s="110"/>
      <c r="P37" s="141"/>
      <c r="Q37" s="150"/>
      <c r="R37" s="101"/>
      <c r="S37" s="101"/>
      <c r="T37" s="101"/>
      <c r="U37" s="151"/>
      <c r="V37" s="145"/>
      <c r="W37" s="102"/>
      <c r="X37" s="102"/>
      <c r="Y37" s="101"/>
      <c r="Z37" s="98"/>
      <c r="AA37" s="327"/>
      <c r="AB37" s="330"/>
      <c r="AC37" s="131"/>
    </row>
    <row r="38" spans="2:29" ht="15.75" thickBot="1" x14ac:dyDescent="0.3">
      <c r="B38" s="323"/>
      <c r="C38" s="324"/>
      <c r="D38" s="296"/>
      <c r="E38" s="271"/>
      <c r="F38" s="192" t="str">
        <f>F25</f>
        <v>Remo con mancuerna</v>
      </c>
      <c r="G38" s="178">
        <v>3</v>
      </c>
      <c r="H38" s="179" t="s">
        <v>12</v>
      </c>
      <c r="I38" s="180">
        <v>12</v>
      </c>
      <c r="J38" s="181">
        <v>2</v>
      </c>
      <c r="K38" s="182"/>
      <c r="L38" s="183"/>
      <c r="M38" s="116"/>
      <c r="N38" s="120"/>
      <c r="O38" s="110"/>
      <c r="P38" s="141"/>
      <c r="Q38" s="150"/>
      <c r="R38" s="101"/>
      <c r="S38" s="101"/>
      <c r="T38" s="101"/>
      <c r="U38" s="151"/>
      <c r="V38" s="145"/>
      <c r="W38" s="102"/>
      <c r="X38" s="102"/>
      <c r="Y38" s="93"/>
      <c r="Z38" s="98"/>
      <c r="AA38" s="327"/>
      <c r="AB38" s="330"/>
      <c r="AC38" s="131"/>
    </row>
    <row r="39" spans="2:29" x14ac:dyDescent="0.25">
      <c r="B39" s="323"/>
      <c r="C39" s="324"/>
      <c r="D39" s="283" t="s">
        <v>120</v>
      </c>
      <c r="E39" s="273" t="s">
        <v>105</v>
      </c>
      <c r="F39" s="204" t="str">
        <f>F16</f>
        <v>Sentadilla</v>
      </c>
      <c r="G39" s="172">
        <v>3</v>
      </c>
      <c r="H39" s="173" t="s">
        <v>12</v>
      </c>
      <c r="I39" s="174">
        <v>8</v>
      </c>
      <c r="J39" s="175">
        <v>2</v>
      </c>
      <c r="K39" s="202">
        <f>LOOKUP($I39+$J39,'Calculadora RM'!$B$31:$B$50,'Calculadora RM'!$C$31:$C$50)</f>
        <v>0.70899999999999996</v>
      </c>
      <c r="L39" s="177">
        <f>MROUND(PRODUCT($Q$3,K39),'Calculadora RM'!B13)</f>
        <v>126</v>
      </c>
      <c r="M39" s="105">
        <f t="shared" si="0"/>
        <v>3024</v>
      </c>
      <c r="N39" s="106"/>
      <c r="O39" s="112"/>
      <c r="P39" s="140"/>
      <c r="Q39" s="148"/>
      <c r="R39" s="92"/>
      <c r="S39" s="92"/>
      <c r="T39" s="92"/>
      <c r="U39" s="149"/>
      <c r="V39" s="144"/>
      <c r="W39" s="92"/>
      <c r="X39" s="92"/>
      <c r="Y39" s="101"/>
      <c r="Z39" s="97"/>
      <c r="AA39" s="326"/>
      <c r="AB39" s="329"/>
      <c r="AC39" s="130"/>
    </row>
    <row r="40" spans="2:29" x14ac:dyDescent="0.25">
      <c r="B40" s="323"/>
      <c r="C40" s="324"/>
      <c r="D40" s="284"/>
      <c r="E40" s="274"/>
      <c r="F40" s="192" t="str">
        <f>F17</f>
        <v>Press banca</v>
      </c>
      <c r="G40" s="178">
        <v>3</v>
      </c>
      <c r="H40" s="179" t="s">
        <v>12</v>
      </c>
      <c r="I40" s="180">
        <v>6</v>
      </c>
      <c r="J40" s="181">
        <v>2</v>
      </c>
      <c r="K40" s="182">
        <f>LOOKUP($I40+$J40,'Calculadora RM'!$B$31:$B$50,'Calculadora RM'!$D$31:$D$50)</f>
        <v>0.79700000000000004</v>
      </c>
      <c r="L40" s="183">
        <f>MROUND(PRODUCT($Q$5,K40),'Calculadora RM'!B13)</f>
        <v>106</v>
      </c>
      <c r="M40" s="108">
        <f t="shared" si="0"/>
        <v>1908</v>
      </c>
      <c r="N40" s="109"/>
      <c r="O40" s="110"/>
      <c r="P40" s="141"/>
      <c r="Q40" s="150"/>
      <c r="R40" s="101"/>
      <c r="S40" s="101"/>
      <c r="T40" s="101"/>
      <c r="U40" s="151"/>
      <c r="V40" s="145"/>
      <c r="W40" s="102"/>
      <c r="X40" s="102"/>
      <c r="Y40" s="101"/>
      <c r="Z40" s="98"/>
      <c r="AA40" s="327"/>
      <c r="AB40" s="330"/>
      <c r="AC40" s="131"/>
    </row>
    <row r="41" spans="2:29" x14ac:dyDescent="0.25">
      <c r="B41" s="323"/>
      <c r="C41" s="324"/>
      <c r="D41" s="284"/>
      <c r="E41" s="274"/>
      <c r="F41" s="192" t="str">
        <f>F18</f>
        <v>Remo</v>
      </c>
      <c r="G41" s="178">
        <v>3</v>
      </c>
      <c r="H41" s="179" t="s">
        <v>12</v>
      </c>
      <c r="I41" s="180">
        <v>8</v>
      </c>
      <c r="J41" s="181">
        <v>2</v>
      </c>
      <c r="K41" s="182">
        <f>LOOKUP($I41+$J41,'Calculadora RM'!$B$31:$B$50,'Calculadora RM'!$F$31:$F$50)</f>
        <v>0.75</v>
      </c>
      <c r="L41" s="183">
        <f>MROUND(PRODUCT($Q$6,K41),'Calculadora RM'!B13)</f>
        <v>79</v>
      </c>
      <c r="M41" s="108">
        <f t="shared" si="0"/>
        <v>1896</v>
      </c>
      <c r="N41" s="109">
        <f>SUM(M41)</f>
        <v>1896</v>
      </c>
      <c r="O41" s="110"/>
      <c r="P41" s="141"/>
      <c r="Q41" s="150"/>
      <c r="R41" s="101"/>
      <c r="S41" s="101"/>
      <c r="T41" s="101"/>
      <c r="U41" s="151"/>
      <c r="V41" s="145"/>
      <c r="W41" s="102"/>
      <c r="X41" s="102"/>
      <c r="Y41" s="101"/>
      <c r="Z41" s="98"/>
      <c r="AA41" s="327"/>
      <c r="AB41" s="330"/>
      <c r="AC41" s="131"/>
    </row>
    <row r="42" spans="2:29" ht="15.75" thickBot="1" x14ac:dyDescent="0.3">
      <c r="B42" s="323"/>
      <c r="C42" s="324"/>
      <c r="D42" s="284"/>
      <c r="E42" s="274"/>
      <c r="F42" s="192" t="str">
        <f>F19</f>
        <v>Hip thrust</v>
      </c>
      <c r="G42" s="178">
        <v>2</v>
      </c>
      <c r="H42" s="179" t="s">
        <v>12</v>
      </c>
      <c r="I42" s="180">
        <v>12</v>
      </c>
      <c r="J42" s="181">
        <v>2</v>
      </c>
      <c r="K42" s="182">
        <f>LOOKUP($I42+$J42,'Calculadora RM'!$B$31:$B$50,'Calculadora RM'!$F$31:$F$50)</f>
        <v>0.65500000000000003</v>
      </c>
      <c r="L42" s="183">
        <f>MROUND(PRODUCT($Q$9,K42),'Calculadora RM'!B13)</f>
        <v>184</v>
      </c>
      <c r="M42" s="108">
        <f>PRODUCT(G42,I42,L42)</f>
        <v>4416</v>
      </c>
      <c r="N42" s="109"/>
      <c r="O42" s="110"/>
      <c r="P42" s="141"/>
      <c r="Q42" s="150"/>
      <c r="R42" s="101"/>
      <c r="S42" s="101"/>
      <c r="T42" s="101"/>
      <c r="U42" s="151"/>
      <c r="V42" s="145"/>
      <c r="W42" s="102"/>
      <c r="X42" s="102"/>
      <c r="Y42" s="93"/>
      <c r="Z42" s="98"/>
      <c r="AA42" s="327"/>
      <c r="AB42" s="330"/>
      <c r="AC42" s="131"/>
    </row>
    <row r="43" spans="2:29" x14ac:dyDescent="0.25">
      <c r="B43" s="323"/>
      <c r="C43" s="324"/>
      <c r="D43" s="284"/>
      <c r="E43" s="268" t="s">
        <v>106</v>
      </c>
      <c r="F43" s="204" t="str">
        <f>F16</f>
        <v>Sentadilla</v>
      </c>
      <c r="G43" s="172">
        <v>3</v>
      </c>
      <c r="H43" s="173" t="s">
        <v>12</v>
      </c>
      <c r="I43" s="174">
        <v>6</v>
      </c>
      <c r="J43" s="175">
        <v>2</v>
      </c>
      <c r="K43" s="202">
        <f>LOOKUP($I43+$J43,'Calculadora RM'!$B$31:$B$50,'Calculadora RM'!$C$31:$C$50)</f>
        <v>0.754</v>
      </c>
      <c r="L43" s="177">
        <f>MROUND(PRODUCT($Q$3,K43),'Calculadora RM'!B13)</f>
        <v>134</v>
      </c>
      <c r="M43" s="113">
        <f t="shared" si="0"/>
        <v>2412</v>
      </c>
      <c r="N43" s="109"/>
      <c r="O43" s="112"/>
      <c r="P43" s="140"/>
      <c r="Q43" s="148"/>
      <c r="R43" s="92"/>
      <c r="S43" s="92"/>
      <c r="T43" s="92"/>
      <c r="U43" s="149"/>
      <c r="V43" s="144"/>
      <c r="W43" s="92"/>
      <c r="X43" s="92"/>
      <c r="Y43" s="101"/>
      <c r="Z43" s="97"/>
      <c r="AA43" s="326"/>
      <c r="AB43" s="329"/>
      <c r="AC43" s="130"/>
    </row>
    <row r="44" spans="2:29" x14ac:dyDescent="0.25">
      <c r="B44" s="323"/>
      <c r="C44" s="324"/>
      <c r="D44" s="284"/>
      <c r="E44" s="269"/>
      <c r="F44" s="192" t="str">
        <f>F19</f>
        <v>Hip thrust</v>
      </c>
      <c r="G44" s="178">
        <v>2</v>
      </c>
      <c r="H44" s="179" t="s">
        <v>12</v>
      </c>
      <c r="I44" s="180">
        <v>8</v>
      </c>
      <c r="J44" s="181">
        <v>2</v>
      </c>
      <c r="K44" s="182">
        <f>LOOKUP($I44+$J44,'Calculadora RM'!$B$31:$B$50,'Calculadora RM'!$F$31:$F$50)</f>
        <v>0.75</v>
      </c>
      <c r="L44" s="183">
        <f>MROUND(PRODUCT($Q$9,K44),'Calculadora RM'!B13)</f>
        <v>211</v>
      </c>
      <c r="M44" s="114">
        <f>PRODUCT(G44,I44,L44)</f>
        <v>3376</v>
      </c>
      <c r="N44" s="109">
        <f>SUM(M44,M42)</f>
        <v>7792</v>
      </c>
      <c r="O44" s="110"/>
      <c r="P44" s="141"/>
      <c r="Q44" s="150"/>
      <c r="R44" s="101"/>
      <c r="S44" s="101"/>
      <c r="T44" s="101"/>
      <c r="U44" s="151"/>
      <c r="V44" s="145"/>
      <c r="W44" s="102"/>
      <c r="X44" s="102"/>
      <c r="Y44" s="101"/>
      <c r="Z44" s="98"/>
      <c r="AA44" s="327"/>
      <c r="AB44" s="330"/>
      <c r="AC44" s="131"/>
    </row>
    <row r="45" spans="2:29" x14ac:dyDescent="0.25">
      <c r="B45" s="323"/>
      <c r="C45" s="324"/>
      <c r="D45" s="284"/>
      <c r="E45" s="269"/>
      <c r="F45" s="192" t="str">
        <f>F21</f>
        <v>Press militar</v>
      </c>
      <c r="G45" s="178">
        <v>3</v>
      </c>
      <c r="H45" s="179" t="s">
        <v>12</v>
      </c>
      <c r="I45" s="180">
        <v>8</v>
      </c>
      <c r="J45" s="181">
        <v>2</v>
      </c>
      <c r="K45" s="182">
        <f>LOOKUP($I45+$J45,'Calculadora RM'!$B$31:$B$50,'Calculadora RM'!$F$31:$F$50)</f>
        <v>0.75</v>
      </c>
      <c r="L45" s="183">
        <f>MROUND(PRODUCT($Q$8,K45),'Calculadora RM'!B13)</f>
        <v>53</v>
      </c>
      <c r="M45" s="114">
        <f t="shared" si="0"/>
        <v>1272</v>
      </c>
      <c r="N45" s="109">
        <f>SUM(M45)</f>
        <v>1272</v>
      </c>
      <c r="O45" s="110"/>
      <c r="P45" s="141"/>
      <c r="Q45" s="150"/>
      <c r="R45" s="101"/>
      <c r="S45" s="101"/>
      <c r="T45" s="101"/>
      <c r="U45" s="151"/>
      <c r="V45" s="145"/>
      <c r="W45" s="102"/>
      <c r="X45" s="102"/>
      <c r="Y45" s="101"/>
      <c r="Z45" s="98"/>
      <c r="AA45" s="327"/>
      <c r="AB45" s="330"/>
      <c r="AC45" s="131"/>
    </row>
    <row r="46" spans="2:29" ht="15.75" thickBot="1" x14ac:dyDescent="0.3">
      <c r="B46" s="323"/>
      <c r="C46" s="324"/>
      <c r="D46" s="284"/>
      <c r="E46" s="269"/>
      <c r="F46" s="192" t="str">
        <f>F22</f>
        <v>Dominadas</v>
      </c>
      <c r="G46" s="178">
        <v>4</v>
      </c>
      <c r="H46" s="179" t="s">
        <v>12</v>
      </c>
      <c r="I46" s="241"/>
      <c r="J46" s="191">
        <v>2</v>
      </c>
      <c r="K46" s="182"/>
      <c r="L46" s="183">
        <v>0</v>
      </c>
      <c r="M46" s="115">
        <f>PRODUCT(G46,I46,'Calculadora RM'!B16)</f>
        <v>360</v>
      </c>
      <c r="N46" s="109">
        <f>SUM(M46)</f>
        <v>360</v>
      </c>
      <c r="O46" s="110">
        <f>SUM(N46,N34,N22)</f>
        <v>810</v>
      </c>
      <c r="P46" s="141"/>
      <c r="Q46" s="150"/>
      <c r="R46" s="101"/>
      <c r="S46" s="101"/>
      <c r="T46" s="101"/>
      <c r="U46" s="151"/>
      <c r="V46" s="145"/>
      <c r="W46" s="102"/>
      <c r="X46" s="102"/>
      <c r="Y46" s="93"/>
      <c r="Z46" s="98"/>
      <c r="AA46" s="327"/>
      <c r="AB46" s="330"/>
      <c r="AC46" s="131"/>
    </row>
    <row r="47" spans="2:29" x14ac:dyDescent="0.25">
      <c r="B47" s="323"/>
      <c r="C47" s="324"/>
      <c r="D47" s="284"/>
      <c r="E47" s="270" t="s">
        <v>107</v>
      </c>
      <c r="F47" s="204" t="str">
        <f>F16</f>
        <v>Sentadilla</v>
      </c>
      <c r="G47" s="172">
        <v>3</v>
      </c>
      <c r="H47" s="173" t="s">
        <v>12</v>
      </c>
      <c r="I47" s="174">
        <v>6</v>
      </c>
      <c r="J47" s="175">
        <v>4</v>
      </c>
      <c r="K47" s="202">
        <f>LOOKUP($I47+$J47,'Calculadora RM'!$B$31:$B$50,'Calculadora RM'!$C$31:$C$50)</f>
        <v>0.70899999999999996</v>
      </c>
      <c r="L47" s="177">
        <f>MROUND(PRODUCT($Q$3,K47),'Calculadora RM'!B13)</f>
        <v>126</v>
      </c>
      <c r="M47" s="116">
        <f t="shared" si="0"/>
        <v>2268</v>
      </c>
      <c r="N47" s="109">
        <f>SUM(M39,M43,M47)</f>
        <v>7704</v>
      </c>
      <c r="O47" s="112"/>
      <c r="P47" s="140"/>
      <c r="Q47" s="148"/>
      <c r="R47" s="92"/>
      <c r="S47" s="92"/>
      <c r="T47" s="92"/>
      <c r="U47" s="149"/>
      <c r="V47" s="144"/>
      <c r="W47" s="92"/>
      <c r="X47" s="92"/>
      <c r="Y47" s="101"/>
      <c r="Z47" s="97"/>
      <c r="AA47" s="326"/>
      <c r="AB47" s="329"/>
      <c r="AC47" s="130"/>
    </row>
    <row r="48" spans="2:29" x14ac:dyDescent="0.25">
      <c r="B48" s="323"/>
      <c r="C48" s="324"/>
      <c r="D48" s="284"/>
      <c r="E48" s="271"/>
      <c r="F48" s="192" t="str">
        <f>F20</f>
        <v>Peso muerto</v>
      </c>
      <c r="G48" s="178">
        <v>2</v>
      </c>
      <c r="H48" s="179" t="s">
        <v>12</v>
      </c>
      <c r="I48" s="180">
        <v>6</v>
      </c>
      <c r="J48" s="181">
        <v>2</v>
      </c>
      <c r="K48" s="182">
        <f>LOOKUP($I48+$J48,'Calculadora RM'!$B$31:$B$50,'Calculadora RM'!$E$31:$E$50)</f>
        <v>0.82</v>
      </c>
      <c r="L48" s="183">
        <f>MROUND(PRODUCT($Q$4,K48),'Calculadora RM'!B13)</f>
        <v>166</v>
      </c>
      <c r="M48" s="116">
        <f t="shared" si="0"/>
        <v>1992</v>
      </c>
      <c r="N48" s="109">
        <f>SUM(M48)</f>
        <v>1992</v>
      </c>
      <c r="O48" s="110"/>
      <c r="P48" s="141"/>
      <c r="Q48" s="150"/>
      <c r="R48" s="101"/>
      <c r="S48" s="101"/>
      <c r="T48" s="101"/>
      <c r="U48" s="151"/>
      <c r="V48" s="145"/>
      <c r="W48" s="102"/>
      <c r="X48" s="102"/>
      <c r="Y48" s="101"/>
      <c r="Z48" s="98"/>
      <c r="AA48" s="327"/>
      <c r="AB48" s="330"/>
      <c r="AC48" s="131"/>
    </row>
    <row r="49" spans="2:29" x14ac:dyDescent="0.25">
      <c r="B49" s="323"/>
      <c r="C49" s="324"/>
      <c r="D49" s="284"/>
      <c r="E49" s="271"/>
      <c r="F49" s="192" t="str">
        <f>F17</f>
        <v>Press banca</v>
      </c>
      <c r="G49" s="178">
        <v>3</v>
      </c>
      <c r="H49" s="179" t="s">
        <v>12</v>
      </c>
      <c r="I49" s="180">
        <v>6</v>
      </c>
      <c r="J49" s="181">
        <v>2</v>
      </c>
      <c r="K49" s="182">
        <f>LOOKUP($I49+$J49,'Calculadora RM'!$B$31:$B$50,'Calculadora RM'!$D$31:$D$50)</f>
        <v>0.79700000000000004</v>
      </c>
      <c r="L49" s="183">
        <f>MROUND(PRODUCT($Q$5,K49),'Calculadora RM'!B13)</f>
        <v>106</v>
      </c>
      <c r="M49" s="116">
        <f t="shared" si="0"/>
        <v>1908</v>
      </c>
      <c r="N49" s="109">
        <f>SUM(M40,M49)</f>
        <v>3816</v>
      </c>
      <c r="O49" s="110"/>
      <c r="P49" s="141"/>
      <c r="Q49" s="150"/>
      <c r="R49" s="101"/>
      <c r="S49" s="101"/>
      <c r="T49" s="101"/>
      <c r="U49" s="151"/>
      <c r="V49" s="145"/>
      <c r="W49" s="102"/>
      <c r="X49" s="102"/>
      <c r="Y49" s="101"/>
      <c r="Z49" s="98"/>
      <c r="AA49" s="327"/>
      <c r="AB49" s="330"/>
      <c r="AC49" s="131"/>
    </row>
    <row r="50" spans="2:29" ht="15.75" thickBot="1" x14ac:dyDescent="0.3">
      <c r="B50" s="323"/>
      <c r="C50" s="324"/>
      <c r="D50" s="284"/>
      <c r="E50" s="271"/>
      <c r="F50" s="192" t="str">
        <f>F25</f>
        <v>Remo con mancuerna</v>
      </c>
      <c r="G50" s="178">
        <v>3</v>
      </c>
      <c r="H50" s="179" t="s">
        <v>12</v>
      </c>
      <c r="I50" s="180">
        <v>12</v>
      </c>
      <c r="J50" s="181">
        <v>2</v>
      </c>
      <c r="K50" s="182"/>
      <c r="L50" s="183"/>
      <c r="M50" s="116"/>
      <c r="N50" s="109"/>
      <c r="O50" s="110"/>
      <c r="P50" s="141"/>
      <c r="Q50" s="150"/>
      <c r="R50" s="101"/>
      <c r="S50" s="101"/>
      <c r="T50" s="101"/>
      <c r="U50" s="151"/>
      <c r="V50" s="145"/>
      <c r="W50" s="102"/>
      <c r="X50" s="102"/>
      <c r="Y50" s="93"/>
      <c r="Z50" s="98"/>
      <c r="AA50" s="327"/>
      <c r="AB50" s="330"/>
      <c r="AC50" s="131"/>
    </row>
    <row r="51" spans="2:29" x14ac:dyDescent="0.25">
      <c r="B51" s="323"/>
      <c r="C51" s="324"/>
      <c r="D51" s="295" t="s">
        <v>121</v>
      </c>
      <c r="E51" s="273" t="s">
        <v>105</v>
      </c>
      <c r="F51" s="204" t="str">
        <f>F16</f>
        <v>Sentadilla</v>
      </c>
      <c r="G51" s="172">
        <v>2</v>
      </c>
      <c r="H51" s="173" t="s">
        <v>12</v>
      </c>
      <c r="I51" s="174">
        <v>6</v>
      </c>
      <c r="J51" s="175">
        <v>4</v>
      </c>
      <c r="K51" s="202">
        <f>LOOKUP($I51+$J51,'Calculadora RM'!$B$31:$B$50,'Calculadora RM'!$C$31:$C$50)</f>
        <v>0.70899999999999996</v>
      </c>
      <c r="L51" s="177">
        <f>MROUND(PRODUCT($Q$3,K51),'Calculadora RM'!B13)</f>
        <v>126</v>
      </c>
      <c r="M51" s="105">
        <f t="shared" si="0"/>
        <v>1512</v>
      </c>
      <c r="N51" s="119"/>
      <c r="O51" s="112"/>
      <c r="P51" s="140"/>
      <c r="Q51" s="148"/>
      <c r="R51" s="92"/>
      <c r="S51" s="92"/>
      <c r="T51" s="92"/>
      <c r="U51" s="149"/>
      <c r="V51" s="144"/>
      <c r="W51" s="92"/>
      <c r="X51" s="92"/>
      <c r="Y51" s="101"/>
      <c r="Z51" s="97"/>
      <c r="AA51" s="326"/>
      <c r="AB51" s="329"/>
      <c r="AC51" s="130"/>
    </row>
    <row r="52" spans="2:29" x14ac:dyDescent="0.25">
      <c r="B52" s="323"/>
      <c r="C52" s="324"/>
      <c r="D52" s="296"/>
      <c r="E52" s="274"/>
      <c r="F52" s="192" t="str">
        <f>F17</f>
        <v>Press banca</v>
      </c>
      <c r="G52" s="178">
        <v>2</v>
      </c>
      <c r="H52" s="179" t="s">
        <v>12</v>
      </c>
      <c r="I52" s="180">
        <v>6</v>
      </c>
      <c r="J52" s="181">
        <v>4</v>
      </c>
      <c r="K52" s="182">
        <f>LOOKUP($I52+$J52,'Calculadora RM'!$B$31:$B$50,'Calculadora RM'!$D$31:$D$50)</f>
        <v>0.755</v>
      </c>
      <c r="L52" s="183">
        <f>MROUND(PRODUCT($Q$5,K52),'Calculadora RM'!B13)</f>
        <v>100</v>
      </c>
      <c r="M52" s="108">
        <f t="shared" si="0"/>
        <v>1200</v>
      </c>
      <c r="N52" s="120"/>
      <c r="O52" s="110"/>
      <c r="P52" s="141"/>
      <c r="Q52" s="150"/>
      <c r="R52" s="101"/>
      <c r="S52" s="101"/>
      <c r="T52" s="101"/>
      <c r="U52" s="151"/>
      <c r="V52" s="145"/>
      <c r="W52" s="102"/>
      <c r="X52" s="102"/>
      <c r="Y52" s="101"/>
      <c r="Z52" s="98"/>
      <c r="AA52" s="327"/>
      <c r="AB52" s="330"/>
      <c r="AC52" s="131"/>
    </row>
    <row r="53" spans="2:29" x14ac:dyDescent="0.25">
      <c r="B53" s="323"/>
      <c r="C53" s="324"/>
      <c r="D53" s="296"/>
      <c r="E53" s="274"/>
      <c r="F53" s="192" t="str">
        <f>F20</f>
        <v>Peso muerto</v>
      </c>
      <c r="G53" s="178">
        <v>1</v>
      </c>
      <c r="H53" s="179" t="s">
        <v>12</v>
      </c>
      <c r="I53" s="180">
        <v>6</v>
      </c>
      <c r="J53" s="181">
        <v>4</v>
      </c>
      <c r="K53" s="182">
        <f>LOOKUP($I53+$J53,'Calculadora RM'!$B$31:$B$50,'Calculadora RM'!$E$31:$E$50)</f>
        <v>0.80600000000000005</v>
      </c>
      <c r="L53" s="183">
        <f>MROUND(PRODUCT($Q$4,K53),'Calculadora RM'!B13)</f>
        <v>164</v>
      </c>
      <c r="M53" s="108">
        <f t="shared" si="0"/>
        <v>984</v>
      </c>
      <c r="N53" s="120">
        <f>SUM(M53)</f>
        <v>984</v>
      </c>
      <c r="O53" s="122">
        <f>SUM(N20,N36,N48,N53)</f>
        <v>6924</v>
      </c>
      <c r="P53" s="141"/>
      <c r="Q53" s="150"/>
      <c r="R53" s="101"/>
      <c r="S53" s="101"/>
      <c r="T53" s="101"/>
      <c r="U53" s="151"/>
      <c r="V53" s="145"/>
      <c r="W53" s="102"/>
      <c r="X53" s="102"/>
      <c r="Y53" s="101"/>
      <c r="Z53" s="98"/>
      <c r="AA53" s="327"/>
      <c r="AB53" s="330"/>
      <c r="AC53" s="131"/>
    </row>
    <row r="54" spans="2:29" ht="15.75" thickBot="1" x14ac:dyDescent="0.3">
      <c r="B54" s="323"/>
      <c r="C54" s="324"/>
      <c r="D54" s="296"/>
      <c r="E54" s="274"/>
      <c r="F54" s="192" t="str">
        <f>F21</f>
        <v>Press militar</v>
      </c>
      <c r="G54" s="178">
        <v>2</v>
      </c>
      <c r="H54" s="179" t="s">
        <v>12</v>
      </c>
      <c r="I54" s="180">
        <v>6</v>
      </c>
      <c r="J54" s="181">
        <v>4</v>
      </c>
      <c r="K54" s="182">
        <f>LOOKUP($I54+$J54,'Calculadora RM'!$B$31:$B$50,'Calculadora RM'!$F$31:$F$50)</f>
        <v>0.75</v>
      </c>
      <c r="L54" s="183">
        <f>MROUND(PRODUCT($Q$8,K54),'Calculadora RM'!B13)</f>
        <v>53</v>
      </c>
      <c r="M54" s="108">
        <f t="shared" si="0"/>
        <v>636</v>
      </c>
      <c r="N54" s="120">
        <f>SUM(M54)</f>
        <v>636</v>
      </c>
      <c r="O54" s="123">
        <f>SUM(N54,N45,N33,N21)</f>
        <v>3836</v>
      </c>
      <c r="P54" s="141"/>
      <c r="Q54" s="150"/>
      <c r="R54" s="101"/>
      <c r="S54" s="101"/>
      <c r="T54" s="101"/>
      <c r="U54" s="151"/>
      <c r="V54" s="145"/>
      <c r="W54" s="102"/>
      <c r="X54" s="102"/>
      <c r="Y54" s="93"/>
      <c r="Z54" s="98"/>
      <c r="AA54" s="327"/>
      <c r="AB54" s="330"/>
      <c r="AC54" s="131"/>
    </row>
    <row r="55" spans="2:29" x14ac:dyDescent="0.25">
      <c r="B55" s="323"/>
      <c r="C55" s="324"/>
      <c r="D55" s="296"/>
      <c r="E55" s="270" t="s">
        <v>106</v>
      </c>
      <c r="F55" s="204" t="str">
        <f>F16</f>
        <v>Sentadilla</v>
      </c>
      <c r="G55" s="172">
        <v>3</v>
      </c>
      <c r="H55" s="173" t="s">
        <v>12</v>
      </c>
      <c r="I55" s="174">
        <v>6</v>
      </c>
      <c r="J55" s="175">
        <v>2</v>
      </c>
      <c r="K55" s="202">
        <f>LOOKUP($I55+$J55,'Calculadora RM'!$B$31:$B$50,'Calculadora RM'!$C$31:$C$50)</f>
        <v>0.754</v>
      </c>
      <c r="L55" s="177">
        <f>MROUND(PRODUCT($Q$3,K55),'Calculadora RM'!B13)</f>
        <v>134</v>
      </c>
      <c r="M55" s="124">
        <f t="shared" si="0"/>
        <v>2412</v>
      </c>
      <c r="N55" s="120">
        <f>SUM(M51,M55)</f>
        <v>3924</v>
      </c>
      <c r="O55" s="123">
        <f>SUM(N23,N35,N47,N55)</f>
        <v>25100</v>
      </c>
      <c r="P55" s="140"/>
      <c r="Q55" s="148"/>
      <c r="R55" s="92"/>
      <c r="S55" s="92"/>
      <c r="T55" s="92"/>
      <c r="U55" s="149"/>
      <c r="V55" s="144"/>
      <c r="W55" s="92"/>
      <c r="X55" s="92"/>
      <c r="Y55" s="101"/>
      <c r="Z55" s="97"/>
      <c r="AA55" s="326"/>
      <c r="AB55" s="329"/>
      <c r="AC55" s="130"/>
    </row>
    <row r="56" spans="2:29" x14ac:dyDescent="0.25">
      <c r="B56" s="323"/>
      <c r="C56" s="324"/>
      <c r="D56" s="296"/>
      <c r="E56" s="271"/>
      <c r="F56" s="192" t="str">
        <f>F17</f>
        <v>Press banca</v>
      </c>
      <c r="G56" s="178">
        <v>3</v>
      </c>
      <c r="H56" s="179" t="s">
        <v>12</v>
      </c>
      <c r="I56" s="180">
        <v>6</v>
      </c>
      <c r="J56" s="181">
        <v>4</v>
      </c>
      <c r="K56" s="182">
        <f>LOOKUP($I56+$J56,'Calculadora RM'!$B$31:$B$50,'Calculadora RM'!$D$31:$D$50)</f>
        <v>0.755</v>
      </c>
      <c r="L56" s="183">
        <f>MROUND(PRODUCT($Q$5,K56),'Calculadora RM'!B13)</f>
        <v>100</v>
      </c>
      <c r="M56" s="116">
        <f t="shared" si="0"/>
        <v>1800</v>
      </c>
      <c r="N56" s="120">
        <f>SUM(M52,M56)</f>
        <v>3000</v>
      </c>
      <c r="O56" s="123">
        <f>SUM(N24,N37,N49,N56)</f>
        <v>15376</v>
      </c>
      <c r="P56" s="141"/>
      <c r="Q56" s="150"/>
      <c r="R56" s="101"/>
      <c r="S56" s="101"/>
      <c r="T56" s="101"/>
      <c r="U56" s="151"/>
      <c r="V56" s="145"/>
      <c r="W56" s="102"/>
      <c r="X56" s="102"/>
      <c r="Y56" s="101"/>
      <c r="Z56" s="98"/>
      <c r="AA56" s="327"/>
      <c r="AB56" s="330"/>
      <c r="AC56" s="131"/>
    </row>
    <row r="57" spans="2:29" x14ac:dyDescent="0.25">
      <c r="B57" s="323"/>
      <c r="C57" s="324"/>
      <c r="D57" s="296"/>
      <c r="E57" s="271"/>
      <c r="F57" s="192" t="str">
        <f>F18</f>
        <v>Remo</v>
      </c>
      <c r="G57" s="178">
        <v>2</v>
      </c>
      <c r="H57" s="179" t="s">
        <v>12</v>
      </c>
      <c r="I57" s="180">
        <v>6</v>
      </c>
      <c r="J57" s="181">
        <v>4</v>
      </c>
      <c r="K57" s="182">
        <f>LOOKUP($I57+$J57,'Calculadora RM'!$B$31:$B$50,'Calculadora RM'!$F$31:$F$50)</f>
        <v>0.75</v>
      </c>
      <c r="L57" s="183">
        <f>MROUND(PRODUCT($Q$6,K57),'Calculadora RM'!B13)</f>
        <v>79</v>
      </c>
      <c r="M57" s="116">
        <f t="shared" si="0"/>
        <v>948</v>
      </c>
      <c r="N57" s="120">
        <f>SUM(M57)</f>
        <v>948</v>
      </c>
      <c r="O57" s="123">
        <f>SUM(N57,N41,N29,N18)</f>
        <v>5740</v>
      </c>
      <c r="P57" s="141"/>
      <c r="Q57" s="150"/>
      <c r="R57" s="101"/>
      <c r="S57" s="101"/>
      <c r="T57" s="101"/>
      <c r="U57" s="151"/>
      <c r="V57" s="145"/>
      <c r="W57" s="102"/>
      <c r="X57" s="102"/>
      <c r="Y57" s="101"/>
      <c r="Z57" s="98"/>
      <c r="AA57" s="327"/>
      <c r="AB57" s="330"/>
      <c r="AC57" s="131"/>
    </row>
    <row r="58" spans="2:29" ht="15.75" thickBot="1" x14ac:dyDescent="0.3">
      <c r="B58" s="323"/>
      <c r="C58" s="324"/>
      <c r="D58" s="296"/>
      <c r="E58" s="271"/>
      <c r="F58" s="192" t="str">
        <f>F19</f>
        <v>Hip thrust</v>
      </c>
      <c r="G58" s="178">
        <v>2</v>
      </c>
      <c r="H58" s="179" t="s">
        <v>12</v>
      </c>
      <c r="I58" s="180">
        <v>12</v>
      </c>
      <c r="J58" s="181">
        <v>3</v>
      </c>
      <c r="K58" s="182">
        <f>LOOKUP($I58+$J58,'Calculadora RM'!$B$31:$B$50,'Calculadora RM'!$F$31:$F$50)</f>
        <v>0.65</v>
      </c>
      <c r="L58" s="183">
        <f>MROUND(PRODUCT($Q$9,K58),'Calculadora RM'!B13)</f>
        <v>183</v>
      </c>
      <c r="M58" s="116">
        <f>PRODUCT(G58,I58,L58)</f>
        <v>4392</v>
      </c>
      <c r="N58" s="120">
        <f>SUM(M58)</f>
        <v>4392</v>
      </c>
      <c r="O58" s="123">
        <f>SUM(N58,N44,N32,N26)</f>
        <v>27128</v>
      </c>
      <c r="P58" s="141"/>
      <c r="Q58" s="150"/>
      <c r="R58" s="101"/>
      <c r="S58" s="101"/>
      <c r="T58" s="101"/>
      <c r="U58" s="151"/>
      <c r="V58" s="145"/>
      <c r="W58" s="102"/>
      <c r="X58" s="102"/>
      <c r="Y58" s="93"/>
      <c r="Z58" s="98"/>
      <c r="AA58" s="327"/>
      <c r="AB58" s="330"/>
      <c r="AC58" s="131"/>
    </row>
    <row r="59" spans="2:29" x14ac:dyDescent="0.25">
      <c r="B59" s="315" t="s">
        <v>2</v>
      </c>
      <c r="C59" s="316"/>
      <c r="D59" s="283" t="s">
        <v>122</v>
      </c>
      <c r="E59" s="273" t="s">
        <v>105</v>
      </c>
      <c r="F59" s="204" t="str">
        <f>F16</f>
        <v>Sentadilla</v>
      </c>
      <c r="G59" s="172">
        <v>4</v>
      </c>
      <c r="H59" s="173" t="s">
        <v>12</v>
      </c>
      <c r="I59" s="174">
        <v>6</v>
      </c>
      <c r="J59" s="175">
        <v>2</v>
      </c>
      <c r="K59" s="202">
        <f>LOOKUP($I59+$J59,'Calculadora RM'!$B$31:$B$50,'Calculadora RM'!$C$31:$C$50)</f>
        <v>0.754</v>
      </c>
      <c r="L59" s="177">
        <f>MROUND(PRODUCT($Q$3,K59),'Calculadora RM'!B13)</f>
        <v>134</v>
      </c>
      <c r="M59" s="105">
        <f t="shared" si="0"/>
        <v>3216</v>
      </c>
      <c r="N59" s="106"/>
      <c r="O59" s="125"/>
      <c r="P59" s="140"/>
      <c r="Q59" s="148"/>
      <c r="R59" s="92"/>
      <c r="S59" s="92"/>
      <c r="T59" s="92"/>
      <c r="U59" s="149"/>
      <c r="V59" s="144"/>
      <c r="W59" s="92"/>
      <c r="X59" s="92"/>
      <c r="Y59" s="101"/>
      <c r="Z59" s="97"/>
      <c r="AA59" s="326"/>
      <c r="AB59" s="329"/>
      <c r="AC59" s="130"/>
    </row>
    <row r="60" spans="2:29" x14ac:dyDescent="0.25">
      <c r="B60" s="317"/>
      <c r="C60" s="318"/>
      <c r="D60" s="284"/>
      <c r="E60" s="274"/>
      <c r="F60" s="192" t="str">
        <f>F17</f>
        <v>Press banca</v>
      </c>
      <c r="G60" s="178">
        <v>3</v>
      </c>
      <c r="H60" s="179" t="s">
        <v>12</v>
      </c>
      <c r="I60" s="180">
        <v>6</v>
      </c>
      <c r="J60" s="181">
        <v>1</v>
      </c>
      <c r="K60" s="182">
        <f>LOOKUP($I60+$J60,'Calculadora RM'!$B$31:$B$50,'Calculadora RM'!$D$31:$D$50)</f>
        <v>0.82</v>
      </c>
      <c r="L60" s="183">
        <f>MROUND(PRODUCT($Q$5,K60),'Calculadora RM'!B13)</f>
        <v>109</v>
      </c>
      <c r="M60" s="108">
        <f t="shared" si="0"/>
        <v>1962</v>
      </c>
      <c r="N60" s="109"/>
      <c r="O60" s="126"/>
      <c r="P60" s="141"/>
      <c r="Q60" s="150"/>
      <c r="R60" s="101"/>
      <c r="S60" s="101"/>
      <c r="T60" s="101"/>
      <c r="U60" s="151"/>
      <c r="V60" s="145"/>
      <c r="W60" s="102"/>
      <c r="X60" s="102"/>
      <c r="Y60" s="101"/>
      <c r="Z60" s="98"/>
      <c r="AA60" s="327"/>
      <c r="AB60" s="330"/>
      <c r="AC60" s="131"/>
    </row>
    <row r="61" spans="2:29" x14ac:dyDescent="0.25">
      <c r="B61" s="317"/>
      <c r="C61" s="318"/>
      <c r="D61" s="284"/>
      <c r="E61" s="274"/>
      <c r="F61" s="192" t="str">
        <f>F18</f>
        <v>Remo</v>
      </c>
      <c r="G61" s="178">
        <v>3</v>
      </c>
      <c r="H61" s="179" t="s">
        <v>12</v>
      </c>
      <c r="I61" s="180">
        <v>6</v>
      </c>
      <c r="J61" s="181">
        <v>3</v>
      </c>
      <c r="K61" s="182">
        <f>LOOKUP($I61+$J61,'Calculadora RM'!$B$31:$B$50,'Calculadora RM'!$F$31:$F$50)</f>
        <v>0.77</v>
      </c>
      <c r="L61" s="183">
        <f>MROUND(PRODUCT($Q$6,K61),'Calculadora RM'!B13)</f>
        <v>81</v>
      </c>
      <c r="M61" s="108">
        <f t="shared" si="0"/>
        <v>1458</v>
      </c>
      <c r="N61" s="109">
        <f>SUM(M61)</f>
        <v>1458</v>
      </c>
      <c r="O61" s="126"/>
      <c r="P61" s="141"/>
      <c r="Q61" s="150"/>
      <c r="R61" s="101"/>
      <c r="S61" s="101"/>
      <c r="T61" s="101"/>
      <c r="U61" s="151"/>
      <c r="V61" s="145"/>
      <c r="W61" s="102"/>
      <c r="X61" s="102"/>
      <c r="Y61" s="101"/>
      <c r="Z61" s="98"/>
      <c r="AA61" s="327"/>
      <c r="AB61" s="330"/>
      <c r="AC61" s="131"/>
    </row>
    <row r="62" spans="2:29" ht="15.75" thickBot="1" x14ac:dyDescent="0.3">
      <c r="B62" s="317"/>
      <c r="C62" s="318"/>
      <c r="D62" s="284"/>
      <c r="E62" s="274"/>
      <c r="F62" s="192" t="str">
        <f>F19</f>
        <v>Hip thrust</v>
      </c>
      <c r="G62" s="178">
        <v>2</v>
      </c>
      <c r="H62" s="179" t="s">
        <v>12</v>
      </c>
      <c r="I62" s="180">
        <v>10</v>
      </c>
      <c r="J62" s="181">
        <v>2</v>
      </c>
      <c r="K62" s="182">
        <f>LOOKUP($I62+$J62,'Calculadora RM'!$B$31:$B$50,'Calculadora RM'!$F$31:$F$50)</f>
        <v>0.67</v>
      </c>
      <c r="L62" s="183">
        <f>MROUND(PRODUCT($Q$9,K62),'Calculadora RM'!B13)</f>
        <v>188</v>
      </c>
      <c r="M62" s="108">
        <f>PRODUCT(G62,I62,L62)</f>
        <v>3760</v>
      </c>
      <c r="N62" s="109"/>
      <c r="O62" s="126"/>
      <c r="P62" s="141"/>
      <c r="Q62" s="150"/>
      <c r="R62" s="101"/>
      <c r="S62" s="101"/>
      <c r="T62" s="101"/>
      <c r="U62" s="151"/>
      <c r="V62" s="145"/>
      <c r="W62" s="102"/>
      <c r="X62" s="102"/>
      <c r="Y62" s="93"/>
      <c r="Z62" s="98"/>
      <c r="AA62" s="327"/>
      <c r="AB62" s="330"/>
      <c r="AC62" s="131"/>
    </row>
    <row r="63" spans="2:29" x14ac:dyDescent="0.25">
      <c r="B63" s="317"/>
      <c r="C63" s="318"/>
      <c r="D63" s="284"/>
      <c r="E63" s="268" t="s">
        <v>106</v>
      </c>
      <c r="F63" s="204" t="str">
        <f>F16</f>
        <v>Sentadilla</v>
      </c>
      <c r="G63" s="172">
        <v>3</v>
      </c>
      <c r="H63" s="173" t="s">
        <v>12</v>
      </c>
      <c r="I63" s="174">
        <v>6</v>
      </c>
      <c r="J63" s="175">
        <v>4</v>
      </c>
      <c r="K63" s="202">
        <f>LOOKUP($I63+$J63,'Calculadora RM'!$B$31:$B$50,'Calculadora RM'!$C$31:$C$50)</f>
        <v>0.70899999999999996</v>
      </c>
      <c r="L63" s="177">
        <f>MROUND(PRODUCT($Q$3,K63),'Calculadora RM'!B13)</f>
        <v>126</v>
      </c>
      <c r="M63" s="113">
        <f t="shared" si="0"/>
        <v>2268</v>
      </c>
      <c r="N63" s="109"/>
      <c r="O63" s="127"/>
      <c r="P63" s="140"/>
      <c r="Q63" s="148"/>
      <c r="R63" s="92"/>
      <c r="S63" s="92"/>
      <c r="T63" s="92"/>
      <c r="U63" s="149"/>
      <c r="V63" s="144"/>
      <c r="W63" s="92"/>
      <c r="X63" s="92"/>
      <c r="Y63" s="101"/>
      <c r="Z63" s="97"/>
      <c r="AA63" s="326"/>
      <c r="AB63" s="329"/>
      <c r="AC63" s="130"/>
    </row>
    <row r="64" spans="2:29" x14ac:dyDescent="0.25">
      <c r="B64" s="317"/>
      <c r="C64" s="318"/>
      <c r="D64" s="284"/>
      <c r="E64" s="269"/>
      <c r="F64" s="192" t="str">
        <f>F20</f>
        <v>Peso muerto</v>
      </c>
      <c r="G64" s="178">
        <v>2</v>
      </c>
      <c r="H64" s="179" t="s">
        <v>12</v>
      </c>
      <c r="I64" s="180">
        <v>5</v>
      </c>
      <c r="J64" s="181">
        <v>3</v>
      </c>
      <c r="K64" s="182">
        <f>LOOKUP($I64+$J64,'Calculadora RM'!$B$31:$B$50,'Calculadora RM'!$E$31:$E$50)</f>
        <v>0.82</v>
      </c>
      <c r="L64" s="183">
        <f>MROUND(PRODUCT($Q$4,K64),'Calculadora RM'!B13)</f>
        <v>166</v>
      </c>
      <c r="M64" s="114">
        <f t="shared" ref="M64:M107" si="1">PRODUCT(G64,I64,L64)</f>
        <v>1660</v>
      </c>
      <c r="N64" s="109">
        <f>SUM(M64)</f>
        <v>1660</v>
      </c>
      <c r="O64" s="126"/>
      <c r="P64" s="141"/>
      <c r="Q64" s="150"/>
      <c r="R64" s="101"/>
      <c r="S64" s="101"/>
      <c r="T64" s="101"/>
      <c r="U64" s="151"/>
      <c r="V64" s="145"/>
      <c r="W64" s="102"/>
      <c r="X64" s="102"/>
      <c r="Y64" s="101"/>
      <c r="Z64" s="98"/>
      <c r="AA64" s="327"/>
      <c r="AB64" s="330"/>
      <c r="AC64" s="131"/>
    </row>
    <row r="65" spans="2:29" x14ac:dyDescent="0.25">
      <c r="B65" s="317"/>
      <c r="C65" s="318"/>
      <c r="D65" s="284"/>
      <c r="E65" s="269"/>
      <c r="F65" s="192" t="str">
        <f>F21</f>
        <v>Press militar</v>
      </c>
      <c r="G65" s="178">
        <v>3</v>
      </c>
      <c r="H65" s="179" t="s">
        <v>12</v>
      </c>
      <c r="I65" s="180">
        <v>6</v>
      </c>
      <c r="J65" s="181">
        <v>3</v>
      </c>
      <c r="K65" s="182">
        <f>LOOKUP($I65+$J65,'Calculadora RM'!$B$31:$B$50,'Calculadora RM'!$F$31:$F$50)</f>
        <v>0.77</v>
      </c>
      <c r="L65" s="183">
        <f>MROUND(PRODUCT($Q$8,K65),'Calculadora RM'!B13)</f>
        <v>54</v>
      </c>
      <c r="M65" s="114">
        <f t="shared" si="1"/>
        <v>972</v>
      </c>
      <c r="N65" s="109">
        <f>SUM(M65)</f>
        <v>972</v>
      </c>
      <c r="O65" s="126"/>
      <c r="P65" s="141"/>
      <c r="Q65" s="150"/>
      <c r="R65" s="101"/>
      <c r="S65" s="101"/>
      <c r="T65" s="101"/>
      <c r="U65" s="151"/>
      <c r="V65" s="145"/>
      <c r="W65" s="102"/>
      <c r="X65" s="102"/>
      <c r="Y65" s="101"/>
      <c r="Z65" s="98"/>
      <c r="AA65" s="327"/>
      <c r="AB65" s="330"/>
      <c r="AC65" s="131"/>
    </row>
    <row r="66" spans="2:29" ht="15.75" thickBot="1" x14ac:dyDescent="0.3">
      <c r="B66" s="317"/>
      <c r="C66" s="318"/>
      <c r="D66" s="284"/>
      <c r="E66" s="269"/>
      <c r="F66" s="192" t="str">
        <f>F22</f>
        <v>Dominadas</v>
      </c>
      <c r="G66" s="178">
        <v>3</v>
      </c>
      <c r="H66" s="179" t="s">
        <v>12</v>
      </c>
      <c r="I66" s="180">
        <v>6</v>
      </c>
      <c r="J66" s="181">
        <v>3</v>
      </c>
      <c r="K66" s="182">
        <f>LOOKUP($I66+$J66,'Calculadora RM'!$B$31:$B$50,'Calculadora RM'!$F$31:$F$50)</f>
        <v>0.77</v>
      </c>
      <c r="L66" s="183">
        <f>MROUND(PRODUCT($Q$7,K66)-'Calculadora RM'!$B$16,'Calculadora RM'!B13)</f>
        <v>10</v>
      </c>
      <c r="M66" s="115">
        <f>PRODUCT(G66,I66,L66+'Calculadora RM'!$B$16)</f>
        <v>1800</v>
      </c>
      <c r="N66" s="109">
        <f>SUM(M66)</f>
        <v>1800</v>
      </c>
      <c r="O66" s="126"/>
      <c r="P66" s="141"/>
      <c r="Q66" s="150"/>
      <c r="R66" s="101"/>
      <c r="S66" s="101"/>
      <c r="T66" s="101"/>
      <c r="U66" s="151"/>
      <c r="V66" s="145"/>
      <c r="W66" s="102"/>
      <c r="X66" s="102"/>
      <c r="Y66" s="93"/>
      <c r="Z66" s="98"/>
      <c r="AA66" s="327"/>
      <c r="AB66" s="330"/>
      <c r="AC66" s="131"/>
    </row>
    <row r="67" spans="2:29" x14ac:dyDescent="0.25">
      <c r="B67" s="317"/>
      <c r="C67" s="318"/>
      <c r="D67" s="284"/>
      <c r="E67" s="270" t="s">
        <v>107</v>
      </c>
      <c r="F67" s="204" t="str">
        <f>F16</f>
        <v>Sentadilla</v>
      </c>
      <c r="G67" s="172">
        <v>2</v>
      </c>
      <c r="H67" s="173" t="s">
        <v>12</v>
      </c>
      <c r="I67" s="174">
        <v>5</v>
      </c>
      <c r="J67" s="175">
        <v>1</v>
      </c>
      <c r="K67" s="202">
        <f>LOOKUP($I67+$J67,'Calculadora RM'!$B$31:$B$50,'Calculadora RM'!$C$31:$C$50)</f>
        <v>0.80500000000000005</v>
      </c>
      <c r="L67" s="177">
        <f>MROUND(PRODUCT($Q$3,K67),'Calculadora RM'!B13)</f>
        <v>143</v>
      </c>
      <c r="M67" s="116">
        <f t="shared" si="1"/>
        <v>1430</v>
      </c>
      <c r="N67" s="109">
        <f>SUM(M59,M63,M67)</f>
        <v>6914</v>
      </c>
      <c r="O67" s="127"/>
      <c r="P67" s="140"/>
      <c r="Q67" s="148"/>
      <c r="R67" s="92"/>
      <c r="S67" s="92"/>
      <c r="T67" s="92"/>
      <c r="U67" s="149"/>
      <c r="V67" s="144"/>
      <c r="W67" s="92"/>
      <c r="X67" s="92"/>
      <c r="Y67" s="101"/>
      <c r="Z67" s="97"/>
      <c r="AA67" s="326"/>
      <c r="AB67" s="329"/>
      <c r="AC67" s="130"/>
    </row>
    <row r="68" spans="2:29" x14ac:dyDescent="0.25">
      <c r="B68" s="317"/>
      <c r="C68" s="318"/>
      <c r="D68" s="284"/>
      <c r="E68" s="271"/>
      <c r="F68" s="192" t="str">
        <f>F19</f>
        <v>Hip thrust</v>
      </c>
      <c r="G68" s="178">
        <v>2</v>
      </c>
      <c r="H68" s="179" t="s">
        <v>12</v>
      </c>
      <c r="I68" s="180">
        <v>6</v>
      </c>
      <c r="J68" s="181">
        <v>2</v>
      </c>
      <c r="K68" s="182">
        <f>LOOKUP($I68+$J68,'Calculadora RM'!$B$31:$B$50,'Calculadora RM'!$F$31:$F$50)</f>
        <v>0.8</v>
      </c>
      <c r="L68" s="183">
        <f>MROUND(PRODUCT($Q$9,K68),'Calculadora RM'!B13)</f>
        <v>225</v>
      </c>
      <c r="M68" s="116">
        <f>PRODUCT(G68,I68,L68)</f>
        <v>2700</v>
      </c>
      <c r="N68" s="109">
        <f>SUM(M68,M62)</f>
        <v>6460</v>
      </c>
      <c r="O68" s="126"/>
      <c r="P68" s="141"/>
      <c r="Q68" s="150"/>
      <c r="R68" s="101"/>
      <c r="S68" s="101"/>
      <c r="T68" s="101"/>
      <c r="U68" s="151"/>
      <c r="V68" s="145"/>
      <c r="W68" s="102"/>
      <c r="X68" s="102"/>
      <c r="Y68" s="101"/>
      <c r="Z68" s="98"/>
      <c r="AA68" s="327"/>
      <c r="AB68" s="330"/>
      <c r="AC68" s="131"/>
    </row>
    <row r="69" spans="2:29" x14ac:dyDescent="0.25">
      <c r="B69" s="317"/>
      <c r="C69" s="318"/>
      <c r="D69" s="284"/>
      <c r="E69" s="271"/>
      <c r="F69" s="192" t="str">
        <f>F17</f>
        <v>Press banca</v>
      </c>
      <c r="G69" s="178">
        <v>3</v>
      </c>
      <c r="H69" s="179" t="s">
        <v>12</v>
      </c>
      <c r="I69" s="180">
        <v>6</v>
      </c>
      <c r="J69" s="181">
        <v>1</v>
      </c>
      <c r="K69" s="182">
        <f>LOOKUP($I69+$J69,'Calculadora RM'!$B$31:$B$50,'Calculadora RM'!$D$31:$D$50)</f>
        <v>0.82</v>
      </c>
      <c r="L69" s="183">
        <f>MROUND(PRODUCT($Q$5,K69),'Calculadora RM'!B13)</f>
        <v>109</v>
      </c>
      <c r="M69" s="116">
        <f t="shared" si="1"/>
        <v>1962</v>
      </c>
      <c r="N69" s="109">
        <f>SUM(M60,M69)</f>
        <v>3924</v>
      </c>
      <c r="O69" s="126"/>
      <c r="P69" s="141"/>
      <c r="Q69" s="150"/>
      <c r="R69" s="101"/>
      <c r="S69" s="101"/>
      <c r="T69" s="101"/>
      <c r="U69" s="151"/>
      <c r="V69" s="145"/>
      <c r="W69" s="102"/>
      <c r="X69" s="102"/>
      <c r="Y69" s="101"/>
      <c r="Z69" s="98"/>
      <c r="AA69" s="327"/>
      <c r="AB69" s="330"/>
      <c r="AC69" s="131"/>
    </row>
    <row r="70" spans="2:29" ht="15.75" thickBot="1" x14ac:dyDescent="0.3">
      <c r="B70" s="317"/>
      <c r="C70" s="318"/>
      <c r="D70" s="284"/>
      <c r="E70" s="271"/>
      <c r="F70" s="192" t="str">
        <f>F25</f>
        <v>Remo con mancuerna</v>
      </c>
      <c r="G70" s="178">
        <v>3</v>
      </c>
      <c r="H70" s="179" t="s">
        <v>12</v>
      </c>
      <c r="I70" s="180">
        <v>10</v>
      </c>
      <c r="J70" s="181">
        <v>2</v>
      </c>
      <c r="K70" s="182"/>
      <c r="L70" s="183"/>
      <c r="M70" s="116"/>
      <c r="N70" s="109"/>
      <c r="O70" s="126"/>
      <c r="P70" s="141"/>
      <c r="Q70" s="150"/>
      <c r="R70" s="101"/>
      <c r="S70" s="101"/>
      <c r="T70" s="101"/>
      <c r="U70" s="151"/>
      <c r="V70" s="145"/>
      <c r="W70" s="102"/>
      <c r="X70" s="102"/>
      <c r="Y70" s="93"/>
      <c r="Z70" s="98"/>
      <c r="AA70" s="327"/>
      <c r="AB70" s="330"/>
      <c r="AC70" s="131"/>
    </row>
    <row r="71" spans="2:29" x14ac:dyDescent="0.25">
      <c r="B71" s="317"/>
      <c r="C71" s="318"/>
      <c r="D71" s="295" t="s">
        <v>123</v>
      </c>
      <c r="E71" s="273" t="s">
        <v>105</v>
      </c>
      <c r="F71" s="204" t="str">
        <f>F16</f>
        <v>Sentadilla</v>
      </c>
      <c r="G71" s="172">
        <v>3</v>
      </c>
      <c r="H71" s="173" t="s">
        <v>12</v>
      </c>
      <c r="I71" s="174">
        <v>5</v>
      </c>
      <c r="J71" s="175">
        <v>1</v>
      </c>
      <c r="K71" s="202">
        <f>LOOKUP($I71+$J71,'Calculadora RM'!$B$31:$B$50,'Calculadora RM'!$C$31:$C$50)</f>
        <v>0.80500000000000005</v>
      </c>
      <c r="L71" s="177">
        <f>MROUND(PRODUCT($Q$3,K71),'Calculadora RM'!B13)</f>
        <v>143</v>
      </c>
      <c r="M71" s="105">
        <f t="shared" si="1"/>
        <v>2145</v>
      </c>
      <c r="N71" s="119"/>
      <c r="O71" s="127"/>
      <c r="P71" s="140"/>
      <c r="Q71" s="148"/>
      <c r="R71" s="92"/>
      <c r="S71" s="92"/>
      <c r="T71" s="92"/>
      <c r="U71" s="149"/>
      <c r="V71" s="144"/>
      <c r="W71" s="92"/>
      <c r="X71" s="92"/>
      <c r="Y71" s="101"/>
      <c r="Z71" s="97"/>
      <c r="AA71" s="326"/>
      <c r="AB71" s="329"/>
      <c r="AC71" s="130"/>
    </row>
    <row r="72" spans="2:29" x14ac:dyDescent="0.25">
      <c r="B72" s="317"/>
      <c r="C72" s="318"/>
      <c r="D72" s="296"/>
      <c r="E72" s="274"/>
      <c r="F72" s="192" t="str">
        <f>F17</f>
        <v>Press banca</v>
      </c>
      <c r="G72" s="178">
        <v>3</v>
      </c>
      <c r="H72" s="179" t="s">
        <v>12</v>
      </c>
      <c r="I72" s="180">
        <v>6</v>
      </c>
      <c r="J72" s="181">
        <v>1</v>
      </c>
      <c r="K72" s="182">
        <f>LOOKUP($I72+$J72,'Calculadora RM'!$B$31:$B$50,'Calculadora RM'!$D$31:$D$50)</f>
        <v>0.82</v>
      </c>
      <c r="L72" s="183">
        <f>MROUND(PRODUCT($Q$5,K72),'Calculadora RM'!B13)</f>
        <v>109</v>
      </c>
      <c r="M72" s="108">
        <f t="shared" si="1"/>
        <v>1962</v>
      </c>
      <c r="N72" s="120"/>
      <c r="O72" s="126"/>
      <c r="P72" s="141"/>
      <c r="Q72" s="150"/>
      <c r="R72" s="101"/>
      <c r="S72" s="101"/>
      <c r="T72" s="101"/>
      <c r="U72" s="151"/>
      <c r="V72" s="145"/>
      <c r="W72" s="102"/>
      <c r="X72" s="102"/>
      <c r="Y72" s="101"/>
      <c r="Z72" s="98"/>
      <c r="AA72" s="327"/>
      <c r="AB72" s="330"/>
      <c r="AC72" s="131"/>
    </row>
    <row r="73" spans="2:29" x14ac:dyDescent="0.25">
      <c r="B73" s="317"/>
      <c r="C73" s="318"/>
      <c r="D73" s="296"/>
      <c r="E73" s="274"/>
      <c r="F73" s="192" t="str">
        <f>F18</f>
        <v>Remo</v>
      </c>
      <c r="G73" s="178">
        <v>3</v>
      </c>
      <c r="H73" s="179" t="s">
        <v>12</v>
      </c>
      <c r="I73" s="180">
        <v>6</v>
      </c>
      <c r="J73" s="181">
        <v>2</v>
      </c>
      <c r="K73" s="182">
        <f>LOOKUP($I73+$J73,'Calculadora RM'!$B$31:$B$50,'Calculadora RM'!$F$31:$F$50)</f>
        <v>0.8</v>
      </c>
      <c r="L73" s="183">
        <f>MROUND(PRODUCT($Q$6,K73),'Calculadora RM'!B13)</f>
        <v>84</v>
      </c>
      <c r="M73" s="108">
        <f t="shared" si="1"/>
        <v>1512</v>
      </c>
      <c r="N73" s="120">
        <f>SUM(M73)</f>
        <v>1512</v>
      </c>
      <c r="O73" s="126"/>
      <c r="P73" s="141"/>
      <c r="Q73" s="150"/>
      <c r="R73" s="101"/>
      <c r="S73" s="101"/>
      <c r="T73" s="101"/>
      <c r="U73" s="151"/>
      <c r="V73" s="145"/>
      <c r="W73" s="102"/>
      <c r="X73" s="102"/>
      <c r="Y73" s="101"/>
      <c r="Z73" s="98"/>
      <c r="AA73" s="327"/>
      <c r="AB73" s="330"/>
      <c r="AC73" s="131"/>
    </row>
    <row r="74" spans="2:29" ht="15.75" thickBot="1" x14ac:dyDescent="0.3">
      <c r="B74" s="317"/>
      <c r="C74" s="318"/>
      <c r="D74" s="296"/>
      <c r="E74" s="274"/>
      <c r="F74" s="192" t="str">
        <f>F19</f>
        <v>Hip thrust</v>
      </c>
      <c r="G74" s="178">
        <v>2</v>
      </c>
      <c r="H74" s="179" t="s">
        <v>12</v>
      </c>
      <c r="I74" s="180">
        <v>10</v>
      </c>
      <c r="J74" s="181">
        <v>2</v>
      </c>
      <c r="K74" s="182">
        <f>LOOKUP($I74+$J74,'Calculadora RM'!$B$31:$B$50,'Calculadora RM'!$F$31:$F$50)</f>
        <v>0.67</v>
      </c>
      <c r="L74" s="183">
        <f>MROUND(PRODUCT($Q$9,K74),'Calculadora RM'!B13)</f>
        <v>188</v>
      </c>
      <c r="M74" s="108">
        <f>PRODUCT(G74,I74,L74)</f>
        <v>3760</v>
      </c>
      <c r="N74" s="120"/>
      <c r="O74" s="126"/>
      <c r="P74" s="141"/>
      <c r="Q74" s="150"/>
      <c r="R74" s="101"/>
      <c r="S74" s="101"/>
      <c r="T74" s="101"/>
      <c r="U74" s="151"/>
      <c r="V74" s="145"/>
      <c r="W74" s="102"/>
      <c r="X74" s="102"/>
      <c r="Y74" s="93"/>
      <c r="Z74" s="98"/>
      <c r="AA74" s="327"/>
      <c r="AB74" s="330"/>
      <c r="AC74" s="131"/>
    </row>
    <row r="75" spans="2:29" x14ac:dyDescent="0.25">
      <c r="B75" s="317"/>
      <c r="C75" s="318"/>
      <c r="D75" s="296"/>
      <c r="E75" s="268" t="s">
        <v>106</v>
      </c>
      <c r="F75" s="204" t="str">
        <f>F16</f>
        <v>Sentadilla</v>
      </c>
      <c r="G75" s="172">
        <v>3</v>
      </c>
      <c r="H75" s="173" t="s">
        <v>12</v>
      </c>
      <c r="I75" s="174">
        <v>6</v>
      </c>
      <c r="J75" s="175">
        <v>4</v>
      </c>
      <c r="K75" s="202">
        <f>LOOKUP($I75+$J75,'Calculadora RM'!$B$31:$B$50,'Calculadora RM'!$C$31:$C$50)</f>
        <v>0.70899999999999996</v>
      </c>
      <c r="L75" s="177">
        <f>MROUND(PRODUCT($Q$3,K75),'Calculadora RM'!B13)</f>
        <v>126</v>
      </c>
      <c r="M75" s="113">
        <f t="shared" si="1"/>
        <v>2268</v>
      </c>
      <c r="N75" s="120"/>
      <c r="O75" s="127"/>
      <c r="P75" s="140"/>
      <c r="Q75" s="148"/>
      <c r="R75" s="92"/>
      <c r="S75" s="92"/>
      <c r="T75" s="92"/>
      <c r="U75" s="149"/>
      <c r="V75" s="144"/>
      <c r="W75" s="92"/>
      <c r="X75" s="92"/>
      <c r="Y75" s="101"/>
      <c r="Z75" s="97"/>
      <c r="AA75" s="326"/>
      <c r="AB75" s="329"/>
      <c r="AC75" s="130"/>
    </row>
    <row r="76" spans="2:29" x14ac:dyDescent="0.25">
      <c r="B76" s="317"/>
      <c r="C76" s="318"/>
      <c r="D76" s="296"/>
      <c r="E76" s="269"/>
      <c r="F76" s="192" t="str">
        <f>F20</f>
        <v>Peso muerto</v>
      </c>
      <c r="G76" s="178">
        <v>2</v>
      </c>
      <c r="H76" s="179" t="s">
        <v>12</v>
      </c>
      <c r="I76" s="180">
        <v>5</v>
      </c>
      <c r="J76" s="181">
        <v>2</v>
      </c>
      <c r="K76" s="182">
        <f>LOOKUP($I76+$J76,'Calculadora RM'!$B$31:$B$50,'Calculadora RM'!$E$31:$E$50)</f>
        <v>0.83499999999999996</v>
      </c>
      <c r="L76" s="183">
        <f>MROUND(PRODUCT($Q$4,K76),'Calculadora RM'!B13)</f>
        <v>170</v>
      </c>
      <c r="M76" s="114">
        <f t="shared" si="1"/>
        <v>1700</v>
      </c>
      <c r="N76" s="120">
        <f>SUM(M76)</f>
        <v>1700</v>
      </c>
      <c r="O76" s="126"/>
      <c r="P76" s="141"/>
      <c r="Q76" s="150"/>
      <c r="R76" s="101"/>
      <c r="S76" s="101"/>
      <c r="T76" s="101"/>
      <c r="U76" s="151"/>
      <c r="V76" s="145"/>
      <c r="W76" s="102"/>
      <c r="X76" s="102"/>
      <c r="Y76" s="101"/>
      <c r="Z76" s="98"/>
      <c r="AA76" s="327"/>
      <c r="AB76" s="330"/>
      <c r="AC76" s="131"/>
    </row>
    <row r="77" spans="2:29" x14ac:dyDescent="0.25">
      <c r="B77" s="317"/>
      <c r="C77" s="318"/>
      <c r="D77" s="296"/>
      <c r="E77" s="269"/>
      <c r="F77" s="192" t="str">
        <f>F21</f>
        <v>Press militar</v>
      </c>
      <c r="G77" s="178">
        <v>3</v>
      </c>
      <c r="H77" s="179" t="s">
        <v>12</v>
      </c>
      <c r="I77" s="180">
        <v>6</v>
      </c>
      <c r="J77" s="181">
        <v>2</v>
      </c>
      <c r="K77" s="182">
        <f>LOOKUP($I77+$J77,'Calculadora RM'!$B$31:$B$50,'Calculadora RM'!$F$31:$F$50)</f>
        <v>0.8</v>
      </c>
      <c r="L77" s="183">
        <f>MROUND(PRODUCT($Q$8,K77),'Calculadora RM'!B13)</f>
        <v>56</v>
      </c>
      <c r="M77" s="114">
        <f t="shared" si="1"/>
        <v>1008</v>
      </c>
      <c r="N77" s="120">
        <f>SUM(M77)</f>
        <v>1008</v>
      </c>
      <c r="O77" s="126"/>
      <c r="P77" s="141"/>
      <c r="Q77" s="150"/>
      <c r="R77" s="101"/>
      <c r="S77" s="101"/>
      <c r="T77" s="101"/>
      <c r="U77" s="151"/>
      <c r="V77" s="145"/>
      <c r="W77" s="102"/>
      <c r="X77" s="102"/>
      <c r="Y77" s="101"/>
      <c r="Z77" s="98"/>
      <c r="AA77" s="327"/>
      <c r="AB77" s="330"/>
      <c r="AC77" s="131"/>
    </row>
    <row r="78" spans="2:29" ht="15.75" thickBot="1" x14ac:dyDescent="0.3">
      <c r="B78" s="317"/>
      <c r="C78" s="318"/>
      <c r="D78" s="296"/>
      <c r="E78" s="269"/>
      <c r="F78" s="192" t="str">
        <f>F22</f>
        <v>Dominadas</v>
      </c>
      <c r="G78" s="178">
        <v>3</v>
      </c>
      <c r="H78" s="179" t="s">
        <v>12</v>
      </c>
      <c r="I78" s="180">
        <v>6</v>
      </c>
      <c r="J78" s="181">
        <v>2</v>
      </c>
      <c r="K78" s="182">
        <f>LOOKUP($I78+$J78,'Calculadora RM'!$B$31:$B$50,'Calculadora RM'!$F$31:$F$50)</f>
        <v>0.8</v>
      </c>
      <c r="L78" s="183">
        <f>MROUND(PRODUCT($Q$7,K78)-'Calculadora RM'!$B$16,'Calculadora RM'!B13)</f>
        <v>14</v>
      </c>
      <c r="M78" s="115">
        <f>PRODUCT(G78,I78,L78+'Calculadora RM'!$B$16)</f>
        <v>1872</v>
      </c>
      <c r="N78" s="120">
        <f>SUM(M78)</f>
        <v>1872</v>
      </c>
      <c r="O78" s="126">
        <f>SUM(N78,N66)</f>
        <v>3672</v>
      </c>
      <c r="P78" s="141"/>
      <c r="Q78" s="150"/>
      <c r="R78" s="101"/>
      <c r="S78" s="101"/>
      <c r="T78" s="101"/>
      <c r="U78" s="151"/>
      <c r="V78" s="145"/>
      <c r="W78" s="102"/>
      <c r="X78" s="102"/>
      <c r="Y78" s="93"/>
      <c r="Z78" s="98"/>
      <c r="AA78" s="327"/>
      <c r="AB78" s="330"/>
      <c r="AC78" s="131"/>
    </row>
    <row r="79" spans="2:29" x14ac:dyDescent="0.25">
      <c r="B79" s="317"/>
      <c r="C79" s="318"/>
      <c r="D79" s="296"/>
      <c r="E79" s="270" t="s">
        <v>107</v>
      </c>
      <c r="F79" s="204" t="str">
        <f>F16</f>
        <v>Sentadilla</v>
      </c>
      <c r="G79" s="172">
        <v>3</v>
      </c>
      <c r="H79" s="173" t="s">
        <v>12</v>
      </c>
      <c r="I79" s="174">
        <v>5</v>
      </c>
      <c r="J79" s="175">
        <v>1</v>
      </c>
      <c r="K79" s="202">
        <f>LOOKUP($I79+$J79,'Calculadora RM'!$B$31:$B$50,'Calculadora RM'!$C$31:$C$50)</f>
        <v>0.80500000000000005</v>
      </c>
      <c r="L79" s="177">
        <f>MROUND(PRODUCT($Q$3,K79),'Calculadora RM'!B13)</f>
        <v>143</v>
      </c>
      <c r="M79" s="116">
        <f t="shared" si="1"/>
        <v>2145</v>
      </c>
      <c r="N79" s="120">
        <f>SUM(M71,M75,M79)</f>
        <v>6558</v>
      </c>
      <c r="O79" s="127"/>
      <c r="P79" s="140"/>
      <c r="Q79" s="148"/>
      <c r="R79" s="92"/>
      <c r="S79" s="92"/>
      <c r="T79" s="92"/>
      <c r="U79" s="149"/>
      <c r="V79" s="144"/>
      <c r="W79" s="92"/>
      <c r="X79" s="92"/>
      <c r="Y79" s="101"/>
      <c r="Z79" s="97"/>
      <c r="AA79" s="326"/>
      <c r="AB79" s="329"/>
      <c r="AC79" s="130"/>
    </row>
    <row r="80" spans="2:29" x14ac:dyDescent="0.25">
      <c r="B80" s="317"/>
      <c r="C80" s="318"/>
      <c r="D80" s="296"/>
      <c r="E80" s="271"/>
      <c r="F80" s="192" t="str">
        <f>F19</f>
        <v>Hip thrust</v>
      </c>
      <c r="G80" s="178">
        <v>2</v>
      </c>
      <c r="H80" s="179" t="s">
        <v>12</v>
      </c>
      <c r="I80" s="180">
        <v>6</v>
      </c>
      <c r="J80" s="181">
        <v>2</v>
      </c>
      <c r="K80" s="182">
        <f>LOOKUP($I80+$J80,'Calculadora RM'!$B$31:$B$50,'Calculadora RM'!$F$31:$F$50)</f>
        <v>0.8</v>
      </c>
      <c r="L80" s="183">
        <f>MROUND(PRODUCT($Q$9,K80),'Calculadora RM'!B13)</f>
        <v>225</v>
      </c>
      <c r="M80" s="116">
        <f>PRODUCT(G80,I80,L80)</f>
        <v>2700</v>
      </c>
      <c r="N80" s="120">
        <f>SUM(M80,M74)</f>
        <v>6460</v>
      </c>
      <c r="O80" s="126"/>
      <c r="P80" s="141"/>
      <c r="Q80" s="150"/>
      <c r="R80" s="101"/>
      <c r="S80" s="101"/>
      <c r="T80" s="101"/>
      <c r="U80" s="151"/>
      <c r="V80" s="145"/>
      <c r="W80" s="102"/>
      <c r="X80" s="102"/>
      <c r="Y80" s="101"/>
      <c r="Z80" s="98"/>
      <c r="AA80" s="327"/>
      <c r="AB80" s="330"/>
      <c r="AC80" s="131"/>
    </row>
    <row r="81" spans="2:29" x14ac:dyDescent="0.25">
      <c r="B81" s="317"/>
      <c r="C81" s="318"/>
      <c r="D81" s="296"/>
      <c r="E81" s="271"/>
      <c r="F81" s="192" t="str">
        <f>F17</f>
        <v>Press banca</v>
      </c>
      <c r="G81" s="178">
        <v>4</v>
      </c>
      <c r="H81" s="179" t="s">
        <v>12</v>
      </c>
      <c r="I81" s="180">
        <v>6</v>
      </c>
      <c r="J81" s="181">
        <v>1</v>
      </c>
      <c r="K81" s="182">
        <f>LOOKUP($I81+$J81,'Calculadora RM'!$B$31:$B$50,'Calculadora RM'!$D$31:$D$50)</f>
        <v>0.82</v>
      </c>
      <c r="L81" s="183">
        <f>MROUND(PRODUCT($Q$5,K81),'Calculadora RM'!B13)</f>
        <v>109</v>
      </c>
      <c r="M81" s="116">
        <f t="shared" si="1"/>
        <v>2616</v>
      </c>
      <c r="N81" s="120">
        <f>SUM(M72,M81)</f>
        <v>4578</v>
      </c>
      <c r="O81" s="126"/>
      <c r="P81" s="141"/>
      <c r="Q81" s="150"/>
      <c r="R81" s="101"/>
      <c r="S81" s="101"/>
      <c r="T81" s="101"/>
      <c r="U81" s="151"/>
      <c r="V81" s="145"/>
      <c r="W81" s="102"/>
      <c r="X81" s="102"/>
      <c r="Y81" s="101"/>
      <c r="Z81" s="98"/>
      <c r="AA81" s="327"/>
      <c r="AB81" s="330"/>
      <c r="AC81" s="131"/>
    </row>
    <row r="82" spans="2:29" ht="15.75" thickBot="1" x14ac:dyDescent="0.3">
      <c r="B82" s="317"/>
      <c r="C82" s="318"/>
      <c r="D82" s="296"/>
      <c r="E82" s="271"/>
      <c r="F82" s="192" t="str">
        <f>F25</f>
        <v>Remo con mancuerna</v>
      </c>
      <c r="G82" s="178">
        <v>3</v>
      </c>
      <c r="H82" s="179" t="s">
        <v>12</v>
      </c>
      <c r="I82" s="180">
        <v>10</v>
      </c>
      <c r="J82" s="181">
        <v>2</v>
      </c>
      <c r="K82" s="182"/>
      <c r="L82" s="183"/>
      <c r="M82" s="116"/>
      <c r="N82" s="120"/>
      <c r="O82" s="126"/>
      <c r="P82" s="141"/>
      <c r="Q82" s="150"/>
      <c r="R82" s="101"/>
      <c r="S82" s="101"/>
      <c r="T82" s="101"/>
      <c r="U82" s="151"/>
      <c r="V82" s="145"/>
      <c r="W82" s="102"/>
      <c r="X82" s="102"/>
      <c r="Y82" s="93"/>
      <c r="Z82" s="98"/>
      <c r="AA82" s="327"/>
      <c r="AB82" s="330"/>
      <c r="AC82" s="131"/>
    </row>
    <row r="83" spans="2:29" x14ac:dyDescent="0.25">
      <c r="B83" s="317"/>
      <c r="C83" s="318"/>
      <c r="D83" s="283" t="s">
        <v>124</v>
      </c>
      <c r="E83" s="273" t="s">
        <v>105</v>
      </c>
      <c r="F83" s="204" t="str">
        <f>F16</f>
        <v>Sentadilla</v>
      </c>
      <c r="G83" s="172">
        <v>3</v>
      </c>
      <c r="H83" s="173" t="s">
        <v>12</v>
      </c>
      <c r="I83" s="174">
        <v>4</v>
      </c>
      <c r="J83" s="175">
        <v>1</v>
      </c>
      <c r="K83" s="202">
        <f>LOOKUP($I83+$J83,'Calculadora RM'!$B$31:$B$50,'Calculadora RM'!$C$31:$C$50)</f>
        <v>0.83299999999999996</v>
      </c>
      <c r="L83" s="177">
        <f>MROUND(PRODUCT($Q$3,K83),'Calculadora RM'!B13)</f>
        <v>148</v>
      </c>
      <c r="M83" s="105">
        <f t="shared" si="1"/>
        <v>1776</v>
      </c>
      <c r="N83" s="106"/>
      <c r="O83" s="127"/>
      <c r="P83" s="140"/>
      <c r="Q83" s="148"/>
      <c r="R83" s="92"/>
      <c r="S83" s="92"/>
      <c r="T83" s="92"/>
      <c r="U83" s="149"/>
      <c r="V83" s="144"/>
      <c r="W83" s="92"/>
      <c r="X83" s="92"/>
      <c r="Y83" s="101"/>
      <c r="Z83" s="97"/>
      <c r="AA83" s="326"/>
      <c r="AB83" s="329"/>
      <c r="AC83" s="130"/>
    </row>
    <row r="84" spans="2:29" x14ac:dyDescent="0.25">
      <c r="B84" s="317"/>
      <c r="C84" s="318"/>
      <c r="D84" s="284"/>
      <c r="E84" s="274"/>
      <c r="F84" s="192" t="str">
        <f>F17</f>
        <v>Press banca</v>
      </c>
      <c r="G84" s="178">
        <v>2</v>
      </c>
      <c r="H84" s="179" t="s">
        <v>12</v>
      </c>
      <c r="I84" s="180">
        <v>4</v>
      </c>
      <c r="J84" s="181">
        <v>2</v>
      </c>
      <c r="K84" s="182">
        <f>LOOKUP($I84+$J84,'Calculadora RM'!$B$31:$B$50,'Calculadora RM'!$D$31:$D$50)</f>
        <v>0.84699999999999998</v>
      </c>
      <c r="L84" s="183">
        <f>MROUND(PRODUCT($Q$5,K84),'Calculadora RM'!B13)</f>
        <v>113</v>
      </c>
      <c r="M84" s="108">
        <f t="shared" si="1"/>
        <v>904</v>
      </c>
      <c r="N84" s="109"/>
      <c r="O84" s="126"/>
      <c r="P84" s="141"/>
      <c r="Q84" s="150"/>
      <c r="R84" s="101"/>
      <c r="S84" s="101"/>
      <c r="T84" s="101"/>
      <c r="U84" s="151"/>
      <c r="V84" s="145"/>
      <c r="W84" s="102"/>
      <c r="X84" s="102"/>
      <c r="Y84" s="101"/>
      <c r="Z84" s="98"/>
      <c r="AA84" s="327"/>
      <c r="AB84" s="330"/>
      <c r="AC84" s="131"/>
    </row>
    <row r="85" spans="2:29" x14ac:dyDescent="0.25">
      <c r="B85" s="317"/>
      <c r="C85" s="318"/>
      <c r="D85" s="284"/>
      <c r="E85" s="274"/>
      <c r="F85" s="192" t="str">
        <f>F20</f>
        <v>Peso muerto</v>
      </c>
      <c r="G85" s="178">
        <v>1</v>
      </c>
      <c r="H85" s="179" t="s">
        <v>12</v>
      </c>
      <c r="I85" s="180">
        <v>5</v>
      </c>
      <c r="J85" s="181">
        <v>4</v>
      </c>
      <c r="K85" s="182">
        <f>LOOKUP($I85+$J85,'Calculadora RM'!$B$31:$B$50,'Calculadora RM'!$E$31:$E$50)</f>
        <v>0.81200000000000006</v>
      </c>
      <c r="L85" s="183">
        <f>MROUND(PRODUCT($Q$4,K85),'Calculadora RM'!B13)</f>
        <v>165</v>
      </c>
      <c r="M85" s="108">
        <f t="shared" si="1"/>
        <v>825</v>
      </c>
      <c r="N85" s="109">
        <f>SUM(M85)</f>
        <v>825</v>
      </c>
      <c r="O85" s="128">
        <f>SUM(N64,N76,N85)</f>
        <v>4185</v>
      </c>
      <c r="P85" s="141"/>
      <c r="Q85" s="150"/>
      <c r="R85" s="101"/>
      <c r="S85" s="101"/>
      <c r="T85" s="101"/>
      <c r="U85" s="151"/>
      <c r="V85" s="145"/>
      <c r="W85" s="102"/>
      <c r="X85" s="102"/>
      <c r="Y85" s="101"/>
      <c r="Z85" s="98"/>
      <c r="AA85" s="327"/>
      <c r="AB85" s="330"/>
      <c r="AC85" s="131"/>
    </row>
    <row r="86" spans="2:29" ht="15.75" thickBot="1" x14ac:dyDescent="0.3">
      <c r="B86" s="317"/>
      <c r="C86" s="318"/>
      <c r="D86" s="284"/>
      <c r="E86" s="274"/>
      <c r="F86" s="192" t="str">
        <f>F21</f>
        <v>Press militar</v>
      </c>
      <c r="G86" s="178">
        <v>2</v>
      </c>
      <c r="H86" s="179" t="s">
        <v>12</v>
      </c>
      <c r="I86" s="180">
        <v>6</v>
      </c>
      <c r="J86" s="181">
        <v>3</v>
      </c>
      <c r="K86" s="182">
        <f>LOOKUP($I86+$J86,'Calculadora RM'!$B$31:$B$50,'Calculadora RM'!$F$31:$F$50)</f>
        <v>0.77</v>
      </c>
      <c r="L86" s="183">
        <f>MROUND(PRODUCT($Q$8,K86),'Calculadora RM'!B13)</f>
        <v>54</v>
      </c>
      <c r="M86" s="111">
        <f t="shared" si="1"/>
        <v>648</v>
      </c>
      <c r="N86" s="109">
        <f>SUM(M86)</f>
        <v>648</v>
      </c>
      <c r="O86" s="129">
        <f>SUM(N86,N77,N65)</f>
        <v>2628</v>
      </c>
      <c r="P86" s="141"/>
      <c r="Q86" s="150"/>
      <c r="R86" s="101"/>
      <c r="S86" s="101"/>
      <c r="T86" s="101"/>
      <c r="U86" s="151"/>
      <c r="V86" s="145"/>
      <c r="W86" s="102"/>
      <c r="X86" s="102"/>
      <c r="Y86" s="93"/>
      <c r="Z86" s="98"/>
      <c r="AA86" s="327"/>
      <c r="AB86" s="330"/>
      <c r="AC86" s="131"/>
    </row>
    <row r="87" spans="2:29" x14ac:dyDescent="0.25">
      <c r="B87" s="317"/>
      <c r="C87" s="318"/>
      <c r="D87" s="284"/>
      <c r="E87" s="270" t="s">
        <v>106</v>
      </c>
      <c r="F87" s="204" t="str">
        <f>F16</f>
        <v>Sentadilla</v>
      </c>
      <c r="G87" s="172">
        <v>4</v>
      </c>
      <c r="H87" s="173" t="s">
        <v>12</v>
      </c>
      <c r="I87" s="174">
        <v>4</v>
      </c>
      <c r="J87" s="175">
        <v>1</v>
      </c>
      <c r="K87" s="202">
        <f>LOOKUP($I87+$J87,'Calculadora RM'!$B$31:$B$50,'Calculadora RM'!$C$31:$C$50)</f>
        <v>0.83299999999999996</v>
      </c>
      <c r="L87" s="177">
        <f>MROUND(PRODUCT($Q$3,K87),'Calculadora RM'!B13)</f>
        <v>148</v>
      </c>
      <c r="M87" s="116">
        <f t="shared" si="1"/>
        <v>2368</v>
      </c>
      <c r="N87" s="109">
        <f>SUM(M83,M87)</f>
        <v>4144</v>
      </c>
      <c r="O87" s="129">
        <f>SUM(N67,N79,N87)</f>
        <v>17616</v>
      </c>
      <c r="P87" s="140"/>
      <c r="Q87" s="148"/>
      <c r="R87" s="92"/>
      <c r="S87" s="92"/>
      <c r="T87" s="92"/>
      <c r="U87" s="149"/>
      <c r="V87" s="144"/>
      <c r="W87" s="92"/>
      <c r="X87" s="92"/>
      <c r="Y87" s="101"/>
      <c r="Z87" s="97"/>
      <c r="AA87" s="326"/>
      <c r="AB87" s="329"/>
      <c r="AC87" s="130"/>
    </row>
    <row r="88" spans="2:29" x14ac:dyDescent="0.25">
      <c r="B88" s="317"/>
      <c r="C88" s="318"/>
      <c r="D88" s="284"/>
      <c r="E88" s="271"/>
      <c r="F88" s="192" t="str">
        <f>F17</f>
        <v>Press banca</v>
      </c>
      <c r="G88" s="178">
        <v>3</v>
      </c>
      <c r="H88" s="179" t="s">
        <v>12</v>
      </c>
      <c r="I88" s="180">
        <v>4</v>
      </c>
      <c r="J88" s="181">
        <v>2</v>
      </c>
      <c r="K88" s="182">
        <f>LOOKUP($I88+$J88,'Calculadora RM'!$B$31:$B$50,'Calculadora RM'!$D$31:$D$50)</f>
        <v>0.84699999999999998</v>
      </c>
      <c r="L88" s="183">
        <f>MROUND(PRODUCT($Q$5,K88),'Calculadora RM'!B13)</f>
        <v>113</v>
      </c>
      <c r="M88" s="116">
        <f t="shared" si="1"/>
        <v>1356</v>
      </c>
      <c r="N88" s="109">
        <f>SUM(M84,M88)</f>
        <v>2260</v>
      </c>
      <c r="O88" s="129">
        <f>SUM(N69,N81,N88)</f>
        <v>10762</v>
      </c>
      <c r="P88" s="141"/>
      <c r="Q88" s="150"/>
      <c r="R88" s="101"/>
      <c r="S88" s="101"/>
      <c r="T88" s="101"/>
      <c r="U88" s="151"/>
      <c r="V88" s="145"/>
      <c r="W88" s="102"/>
      <c r="X88" s="102"/>
      <c r="Y88" s="101"/>
      <c r="Z88" s="98"/>
      <c r="AA88" s="327"/>
      <c r="AB88" s="330"/>
      <c r="AC88" s="131"/>
    </row>
    <row r="89" spans="2:29" x14ac:dyDescent="0.25">
      <c r="B89" s="317"/>
      <c r="C89" s="318"/>
      <c r="D89" s="284"/>
      <c r="E89" s="271"/>
      <c r="F89" s="192" t="str">
        <f>F18</f>
        <v>Remo</v>
      </c>
      <c r="G89" s="178">
        <v>2</v>
      </c>
      <c r="H89" s="179" t="s">
        <v>12</v>
      </c>
      <c r="I89" s="180">
        <v>6</v>
      </c>
      <c r="J89" s="181">
        <v>3</v>
      </c>
      <c r="K89" s="182">
        <f>LOOKUP($I89+$J89,'Calculadora RM'!$B$31:$B$50,'Calculadora RM'!$F$31:$F$50)</f>
        <v>0.77</v>
      </c>
      <c r="L89" s="183">
        <f>MROUND(PRODUCT($Q$6,K89),'Calculadora RM'!B13)</f>
        <v>81</v>
      </c>
      <c r="M89" s="116">
        <f t="shared" si="1"/>
        <v>972</v>
      </c>
      <c r="N89" s="109">
        <f>SUM(M89)</f>
        <v>972</v>
      </c>
      <c r="O89" s="129">
        <f>SUM(N89,N73,N61,)</f>
        <v>3942</v>
      </c>
      <c r="P89" s="141"/>
      <c r="Q89" s="150"/>
      <c r="R89" s="101"/>
      <c r="S89" s="101"/>
      <c r="T89" s="101"/>
      <c r="U89" s="151"/>
      <c r="V89" s="145"/>
      <c r="W89" s="102"/>
      <c r="X89" s="102"/>
      <c r="Y89" s="101"/>
      <c r="Z89" s="98"/>
      <c r="AA89" s="327"/>
      <c r="AB89" s="330"/>
      <c r="AC89" s="131"/>
    </row>
    <row r="90" spans="2:29" ht="15.75" thickBot="1" x14ac:dyDescent="0.3">
      <c r="B90" s="317"/>
      <c r="C90" s="318"/>
      <c r="D90" s="284"/>
      <c r="E90" s="271"/>
      <c r="F90" s="192" t="str">
        <f>F19</f>
        <v>Hip thrust</v>
      </c>
      <c r="G90" s="178">
        <v>2</v>
      </c>
      <c r="H90" s="179" t="s">
        <v>12</v>
      </c>
      <c r="I90" s="180">
        <v>10</v>
      </c>
      <c r="J90" s="181">
        <v>4</v>
      </c>
      <c r="K90" s="182">
        <f>LOOKUP($I90+$J90,'Calculadora RM'!$B$31:$B$50,'Calculadora RM'!$F$31:$F$50)</f>
        <v>0.65500000000000003</v>
      </c>
      <c r="L90" s="183">
        <f>MROUND(PRODUCT($Q$9,K90),'Calculadora RM'!B13)</f>
        <v>184</v>
      </c>
      <c r="M90" s="116">
        <f>PRODUCT(G90,I90,L90)</f>
        <v>3680</v>
      </c>
      <c r="N90" s="109">
        <f>SUM(M90)</f>
        <v>3680</v>
      </c>
      <c r="O90" s="129">
        <f>SUM(N90,N80,N68)</f>
        <v>16600</v>
      </c>
      <c r="P90" s="141"/>
      <c r="Q90" s="150"/>
      <c r="R90" s="101"/>
      <c r="S90" s="101"/>
      <c r="T90" s="101"/>
      <c r="U90" s="151"/>
      <c r="V90" s="145"/>
      <c r="W90" s="102"/>
      <c r="X90" s="102"/>
      <c r="Y90" s="93"/>
      <c r="Z90" s="98"/>
      <c r="AA90" s="327"/>
      <c r="AB90" s="330"/>
      <c r="AC90" s="131"/>
    </row>
    <row r="91" spans="2:29" x14ac:dyDescent="0.25">
      <c r="B91" s="321" t="s">
        <v>3</v>
      </c>
      <c r="C91" s="322"/>
      <c r="D91" s="295" t="s">
        <v>125</v>
      </c>
      <c r="E91" s="273" t="s">
        <v>105</v>
      </c>
      <c r="F91" s="204" t="str">
        <f>F16</f>
        <v>Sentadilla</v>
      </c>
      <c r="G91" s="172">
        <v>4</v>
      </c>
      <c r="H91" s="173" t="s">
        <v>12</v>
      </c>
      <c r="I91" s="174">
        <v>4</v>
      </c>
      <c r="J91" s="175">
        <v>1</v>
      </c>
      <c r="K91" s="202">
        <f>LOOKUP($I91+$J91,'Calculadora RM'!$B$31:$B$50,'Calculadora RM'!$C$31:$C$50)</f>
        <v>0.83299999999999996</v>
      </c>
      <c r="L91" s="177">
        <f>MROUND(PRODUCT($Q$3,K91),'Calculadora RM'!B13)</f>
        <v>148</v>
      </c>
      <c r="M91" s="105">
        <f t="shared" si="1"/>
        <v>2368</v>
      </c>
      <c r="N91" s="119"/>
      <c r="O91" s="107"/>
      <c r="P91" s="140"/>
      <c r="Q91" s="148"/>
      <c r="R91" s="92"/>
      <c r="S91" s="92"/>
      <c r="T91" s="92"/>
      <c r="U91" s="149"/>
      <c r="V91" s="144"/>
      <c r="W91" s="92"/>
      <c r="X91" s="92"/>
      <c r="Y91" s="101"/>
      <c r="Z91" s="97"/>
      <c r="AA91" s="326"/>
      <c r="AB91" s="329"/>
      <c r="AC91" s="130"/>
    </row>
    <row r="92" spans="2:29" x14ac:dyDescent="0.25">
      <c r="B92" s="323"/>
      <c r="C92" s="324"/>
      <c r="D92" s="296"/>
      <c r="E92" s="274"/>
      <c r="F92" s="192" t="str">
        <f>F17</f>
        <v>Press banca</v>
      </c>
      <c r="G92" s="178">
        <v>3</v>
      </c>
      <c r="H92" s="179" t="s">
        <v>12</v>
      </c>
      <c r="I92" s="180">
        <v>4</v>
      </c>
      <c r="J92" s="181">
        <v>1</v>
      </c>
      <c r="K92" s="182">
        <f>LOOKUP($I92+$J92,'Calculadora RM'!$B$31:$B$50,'Calculadora RM'!$D$31:$D$50)</f>
        <v>0.87</v>
      </c>
      <c r="L92" s="183">
        <f>MROUND(PRODUCT($Q$5,K92),'Calculadora RM'!B13)</f>
        <v>116</v>
      </c>
      <c r="M92" s="108">
        <f t="shared" si="1"/>
        <v>1392</v>
      </c>
      <c r="N92" s="120"/>
      <c r="O92" s="110"/>
      <c r="P92" s="141"/>
      <c r="Q92" s="150"/>
      <c r="R92" s="101"/>
      <c r="S92" s="101"/>
      <c r="T92" s="101"/>
      <c r="U92" s="151"/>
      <c r="V92" s="145"/>
      <c r="W92" s="102"/>
      <c r="X92" s="102"/>
      <c r="Y92" s="101"/>
      <c r="Z92" s="98"/>
      <c r="AA92" s="327"/>
      <c r="AB92" s="330"/>
      <c r="AC92" s="131"/>
    </row>
    <row r="93" spans="2:29" x14ac:dyDescent="0.25">
      <c r="B93" s="323"/>
      <c r="C93" s="324"/>
      <c r="D93" s="296"/>
      <c r="E93" s="274"/>
      <c r="F93" s="192" t="str">
        <f>F18</f>
        <v>Remo</v>
      </c>
      <c r="G93" s="178">
        <v>3</v>
      </c>
      <c r="H93" s="179" t="s">
        <v>12</v>
      </c>
      <c r="I93" s="180">
        <v>5</v>
      </c>
      <c r="J93" s="181">
        <v>2</v>
      </c>
      <c r="K93" s="182">
        <f>LOOKUP($I93+$J93,'Calculadora RM'!$B$31:$B$50,'Calculadora RM'!$F$31:$F$50)</f>
        <v>0.83</v>
      </c>
      <c r="L93" s="183">
        <f>MROUND(PRODUCT($Q$6,K93),'Calculadora RM'!B13)</f>
        <v>87</v>
      </c>
      <c r="M93" s="108">
        <f t="shared" si="1"/>
        <v>1305</v>
      </c>
      <c r="N93" s="120">
        <f>SUM(M93,)</f>
        <v>1305</v>
      </c>
      <c r="O93" s="110"/>
      <c r="P93" s="141"/>
      <c r="Q93" s="150"/>
      <c r="R93" s="101"/>
      <c r="S93" s="101"/>
      <c r="T93" s="101"/>
      <c r="U93" s="151"/>
      <c r="V93" s="145"/>
      <c r="W93" s="102"/>
      <c r="X93" s="102"/>
      <c r="Y93" s="101"/>
      <c r="Z93" s="98"/>
      <c r="AA93" s="327"/>
      <c r="AB93" s="330"/>
      <c r="AC93" s="131"/>
    </row>
    <row r="94" spans="2:29" ht="15.75" thickBot="1" x14ac:dyDescent="0.3">
      <c r="B94" s="323"/>
      <c r="C94" s="324"/>
      <c r="D94" s="296"/>
      <c r="E94" s="274"/>
      <c r="F94" s="192" t="str">
        <f>F19</f>
        <v>Hip thrust</v>
      </c>
      <c r="G94" s="178">
        <v>2</v>
      </c>
      <c r="H94" s="179" t="s">
        <v>12</v>
      </c>
      <c r="I94" s="180">
        <v>8</v>
      </c>
      <c r="J94" s="181">
        <v>2</v>
      </c>
      <c r="K94" s="182">
        <f>LOOKUP($I94+$J94,'Calculadora RM'!$B$31:$B$50,'Calculadora RM'!$F$31:$F$50)</f>
        <v>0.75</v>
      </c>
      <c r="L94" s="183">
        <f>MROUND(PRODUCT($Q$9,K94),'Calculadora RM'!B13)</f>
        <v>211</v>
      </c>
      <c r="M94" s="108">
        <f>PRODUCT(G94,I94,L94)</f>
        <v>3376</v>
      </c>
      <c r="N94" s="120"/>
      <c r="O94" s="110"/>
      <c r="P94" s="141"/>
      <c r="Q94" s="150"/>
      <c r="R94" s="101"/>
      <c r="S94" s="101"/>
      <c r="T94" s="101"/>
      <c r="U94" s="151"/>
      <c r="V94" s="145"/>
      <c r="W94" s="102"/>
      <c r="X94" s="102"/>
      <c r="Y94" s="93"/>
      <c r="Z94" s="98"/>
      <c r="AA94" s="327"/>
      <c r="AB94" s="330"/>
      <c r="AC94" s="131"/>
    </row>
    <row r="95" spans="2:29" x14ac:dyDescent="0.25">
      <c r="B95" s="323"/>
      <c r="C95" s="324"/>
      <c r="D95" s="296"/>
      <c r="E95" s="268" t="s">
        <v>106</v>
      </c>
      <c r="F95" s="204" t="str">
        <f>F16</f>
        <v>Sentadilla</v>
      </c>
      <c r="G95" s="172">
        <v>3</v>
      </c>
      <c r="H95" s="173" t="s">
        <v>12</v>
      </c>
      <c r="I95" s="174">
        <v>4</v>
      </c>
      <c r="J95" s="175">
        <v>1</v>
      </c>
      <c r="K95" s="202">
        <f>LOOKUP($I95+$J95,'Calculadora RM'!$B$31:$B$50,'Calculadora RM'!$C$31:$C$50)</f>
        <v>0.83299999999999996</v>
      </c>
      <c r="L95" s="177">
        <f>MROUND(PRODUCT($Q$3,K95),'Calculadora RM'!B13)</f>
        <v>148</v>
      </c>
      <c r="M95" s="113">
        <f t="shared" si="1"/>
        <v>1776</v>
      </c>
      <c r="N95" s="120"/>
      <c r="O95" s="112"/>
      <c r="P95" s="140"/>
      <c r="Q95" s="148"/>
      <c r="R95" s="92"/>
      <c r="S95" s="92"/>
      <c r="T95" s="92"/>
      <c r="U95" s="149"/>
      <c r="V95" s="144"/>
      <c r="W95" s="92"/>
      <c r="X95" s="92"/>
      <c r="Y95" s="101"/>
      <c r="Z95" s="97"/>
      <c r="AA95" s="326"/>
      <c r="AB95" s="329"/>
      <c r="AC95" s="130"/>
    </row>
    <row r="96" spans="2:29" x14ac:dyDescent="0.25">
      <c r="B96" s="323"/>
      <c r="C96" s="324"/>
      <c r="D96" s="296"/>
      <c r="E96" s="269"/>
      <c r="F96" s="192" t="str">
        <f>F20</f>
        <v>Peso muerto</v>
      </c>
      <c r="G96" s="178">
        <v>2</v>
      </c>
      <c r="H96" s="179" t="s">
        <v>12</v>
      </c>
      <c r="I96" s="180">
        <v>4</v>
      </c>
      <c r="J96" s="181">
        <v>2</v>
      </c>
      <c r="K96" s="182">
        <f>LOOKUP($I96+$J96,'Calculadora RM'!$B$31:$B$50,'Calculadora RM'!$E$31:$E$50)</f>
        <v>0.84699999999999998</v>
      </c>
      <c r="L96" s="183">
        <f>MROUND(PRODUCT($Q$4,K96),'Calculadora RM'!B13)</f>
        <v>172</v>
      </c>
      <c r="M96" s="114">
        <f t="shared" si="1"/>
        <v>1376</v>
      </c>
      <c r="N96" s="120">
        <f>SUM(M96)</f>
        <v>1376</v>
      </c>
      <c r="O96" s="110"/>
      <c r="P96" s="141"/>
      <c r="Q96" s="150"/>
      <c r="R96" s="101"/>
      <c r="S96" s="101"/>
      <c r="T96" s="101"/>
      <c r="U96" s="151"/>
      <c r="V96" s="145"/>
      <c r="W96" s="102"/>
      <c r="X96" s="102"/>
      <c r="Y96" s="101"/>
      <c r="Z96" s="98"/>
      <c r="AA96" s="327"/>
      <c r="AB96" s="330"/>
      <c r="AC96" s="131"/>
    </row>
    <row r="97" spans="2:29" x14ac:dyDescent="0.25">
      <c r="B97" s="323"/>
      <c r="C97" s="324"/>
      <c r="D97" s="296"/>
      <c r="E97" s="269"/>
      <c r="F97" s="192" t="str">
        <f>F21</f>
        <v>Press militar</v>
      </c>
      <c r="G97" s="178">
        <v>3</v>
      </c>
      <c r="H97" s="179" t="s">
        <v>12</v>
      </c>
      <c r="I97" s="180">
        <v>5</v>
      </c>
      <c r="J97" s="181">
        <v>2</v>
      </c>
      <c r="K97" s="182">
        <f>LOOKUP($I97+$J97,'Calculadora RM'!$B$31:$B$50,'Calculadora RM'!$F$31:$F$50)</f>
        <v>0.83</v>
      </c>
      <c r="L97" s="183">
        <f>MROUND(PRODUCT($Q$8,K97),'Calculadora RM'!B13)</f>
        <v>58</v>
      </c>
      <c r="M97" s="114">
        <f t="shared" si="1"/>
        <v>870</v>
      </c>
      <c r="N97" s="120">
        <f>SUM(M97)</f>
        <v>870</v>
      </c>
      <c r="O97" s="110"/>
      <c r="P97" s="141"/>
      <c r="Q97" s="150"/>
      <c r="R97" s="101"/>
      <c r="S97" s="101"/>
      <c r="T97" s="101"/>
      <c r="U97" s="151"/>
      <c r="V97" s="145"/>
      <c r="W97" s="102"/>
      <c r="X97" s="102"/>
      <c r="Y97" s="101"/>
      <c r="Z97" s="98"/>
      <c r="AA97" s="327"/>
      <c r="AB97" s="330"/>
      <c r="AC97" s="131"/>
    </row>
    <row r="98" spans="2:29" ht="15.75" thickBot="1" x14ac:dyDescent="0.3">
      <c r="B98" s="323"/>
      <c r="C98" s="324"/>
      <c r="D98" s="296"/>
      <c r="E98" s="269"/>
      <c r="F98" s="192" t="str">
        <f>F22</f>
        <v>Dominadas</v>
      </c>
      <c r="G98" s="178">
        <v>3</v>
      </c>
      <c r="H98" s="179" t="s">
        <v>12</v>
      </c>
      <c r="I98" s="180">
        <v>5</v>
      </c>
      <c r="J98" s="181">
        <v>2</v>
      </c>
      <c r="K98" s="182">
        <f>LOOKUP($I98+$J98,'Calculadora RM'!$B$31:$B$50,'Calculadora RM'!$F$31:$F$50)</f>
        <v>0.83</v>
      </c>
      <c r="L98" s="183">
        <f>MROUND(PRODUCT($Q$7,K98)-'Calculadora RM'!$B$16,'Calculadora RM'!B13)</f>
        <v>18</v>
      </c>
      <c r="M98" s="114">
        <f>PRODUCT(G98,I98,L98+'Calculadora RM'!$B$16)</f>
        <v>1620</v>
      </c>
      <c r="N98" s="120">
        <f>SUM(M98)</f>
        <v>1620</v>
      </c>
      <c r="O98" s="110"/>
      <c r="P98" s="141"/>
      <c r="Q98" s="150"/>
      <c r="R98" s="101"/>
      <c r="S98" s="101"/>
      <c r="T98" s="101"/>
      <c r="U98" s="151"/>
      <c r="V98" s="145"/>
      <c r="W98" s="102"/>
      <c r="X98" s="102"/>
      <c r="Y98" s="93"/>
      <c r="Z98" s="98"/>
      <c r="AA98" s="327"/>
      <c r="AB98" s="330"/>
      <c r="AC98" s="131"/>
    </row>
    <row r="99" spans="2:29" x14ac:dyDescent="0.25">
      <c r="B99" s="323"/>
      <c r="C99" s="324"/>
      <c r="D99" s="296"/>
      <c r="E99" s="270" t="s">
        <v>107</v>
      </c>
      <c r="F99" s="204" t="str">
        <f>F16</f>
        <v>Sentadilla</v>
      </c>
      <c r="G99" s="172">
        <v>4</v>
      </c>
      <c r="H99" s="173" t="s">
        <v>12</v>
      </c>
      <c r="I99" s="174">
        <v>4</v>
      </c>
      <c r="J99" s="175">
        <v>1</v>
      </c>
      <c r="K99" s="202">
        <f>LOOKUP($I99+$J99,'Calculadora RM'!$B$31:$B$50,'Calculadora RM'!$C$31:$C$50)</f>
        <v>0.83299999999999996</v>
      </c>
      <c r="L99" s="177">
        <f>MROUND(PRODUCT($Q$3,K99),'Calculadora RM'!B13)</f>
        <v>148</v>
      </c>
      <c r="M99" s="124">
        <f t="shared" si="1"/>
        <v>2368</v>
      </c>
      <c r="N99" s="120">
        <f>SUM(M91,M95,M99)</f>
        <v>6512</v>
      </c>
      <c r="O99" s="112"/>
      <c r="P99" s="140"/>
      <c r="Q99" s="148"/>
      <c r="R99" s="92"/>
      <c r="S99" s="92"/>
      <c r="T99" s="92"/>
      <c r="U99" s="149"/>
      <c r="V99" s="144"/>
      <c r="W99" s="92"/>
      <c r="X99" s="92"/>
      <c r="Y99" s="101"/>
      <c r="Z99" s="97"/>
      <c r="AA99" s="326"/>
      <c r="AB99" s="329"/>
      <c r="AC99" s="130"/>
    </row>
    <row r="100" spans="2:29" x14ac:dyDescent="0.25">
      <c r="B100" s="323"/>
      <c r="C100" s="324"/>
      <c r="D100" s="296"/>
      <c r="E100" s="271"/>
      <c r="F100" s="192" t="str">
        <f>F19</f>
        <v>Hip thrust</v>
      </c>
      <c r="G100" s="178">
        <v>2</v>
      </c>
      <c r="H100" s="179" t="s">
        <v>12</v>
      </c>
      <c r="I100" s="180">
        <v>5</v>
      </c>
      <c r="J100" s="181">
        <v>2</v>
      </c>
      <c r="K100" s="182">
        <f>LOOKUP($I100+$J100,'Calculadora RM'!$B$31:$B$50,'Calculadora RM'!$F$31:$F$50)</f>
        <v>0.83</v>
      </c>
      <c r="L100" s="183">
        <f>MROUND(PRODUCT($Q$9,K100),'Calculadora RM'!B13)</f>
        <v>233</v>
      </c>
      <c r="M100" s="116">
        <f>PRODUCT(G100,I100,L100)</f>
        <v>2330</v>
      </c>
      <c r="N100" s="120">
        <f>SUM(M100,M94)</f>
        <v>5706</v>
      </c>
      <c r="O100" s="110"/>
      <c r="P100" s="141"/>
      <c r="Q100" s="150"/>
      <c r="R100" s="101"/>
      <c r="S100" s="101"/>
      <c r="T100" s="101"/>
      <c r="U100" s="151"/>
      <c r="V100" s="145"/>
      <c r="W100" s="102"/>
      <c r="X100" s="102"/>
      <c r="Y100" s="101"/>
      <c r="Z100" s="98"/>
      <c r="AA100" s="327"/>
      <c r="AB100" s="330"/>
      <c r="AC100" s="131"/>
    </row>
    <row r="101" spans="2:29" x14ac:dyDescent="0.25">
      <c r="B101" s="323"/>
      <c r="C101" s="324"/>
      <c r="D101" s="296"/>
      <c r="E101" s="271"/>
      <c r="F101" s="192" t="str">
        <f>F17</f>
        <v>Press banca</v>
      </c>
      <c r="G101" s="178">
        <v>3</v>
      </c>
      <c r="H101" s="179" t="s">
        <v>12</v>
      </c>
      <c r="I101" s="180">
        <v>4</v>
      </c>
      <c r="J101" s="181">
        <v>1</v>
      </c>
      <c r="K101" s="182">
        <f>LOOKUP($I101+$J101,'Calculadora RM'!$B$31:$B$50,'Calculadora RM'!$D$31:$D$50)</f>
        <v>0.87</v>
      </c>
      <c r="L101" s="183">
        <f>MROUND(PRODUCT($Q$5,K101),'Calculadora RM'!B13)</f>
        <v>116</v>
      </c>
      <c r="M101" s="116">
        <f t="shared" si="1"/>
        <v>1392</v>
      </c>
      <c r="N101" s="120">
        <f>SUM(M92,M101)</f>
        <v>2784</v>
      </c>
      <c r="O101" s="110"/>
      <c r="P101" s="141"/>
      <c r="Q101" s="150"/>
      <c r="R101" s="101"/>
      <c r="S101" s="101"/>
      <c r="T101" s="101"/>
      <c r="U101" s="151"/>
      <c r="V101" s="145"/>
      <c r="W101" s="102"/>
      <c r="X101" s="102"/>
      <c r="Y101" s="101"/>
      <c r="Z101" s="98"/>
      <c r="AA101" s="327"/>
      <c r="AB101" s="330"/>
      <c r="AC101" s="131"/>
    </row>
    <row r="102" spans="2:29" ht="15.75" thickBot="1" x14ac:dyDescent="0.3">
      <c r="B102" s="323"/>
      <c r="C102" s="324"/>
      <c r="D102" s="296"/>
      <c r="E102" s="271"/>
      <c r="F102" s="192" t="str">
        <f>F25</f>
        <v>Remo con mancuerna</v>
      </c>
      <c r="G102" s="178">
        <v>3</v>
      </c>
      <c r="H102" s="179" t="s">
        <v>12</v>
      </c>
      <c r="I102" s="180">
        <v>8</v>
      </c>
      <c r="J102" s="181">
        <v>2</v>
      </c>
      <c r="K102" s="182"/>
      <c r="L102" s="183"/>
      <c r="M102" s="116"/>
      <c r="N102" s="120"/>
      <c r="O102" s="110"/>
      <c r="P102" s="141"/>
      <c r="Q102" s="150"/>
      <c r="R102" s="101"/>
      <c r="S102" s="101"/>
      <c r="T102" s="101"/>
      <c r="U102" s="151"/>
      <c r="V102" s="145"/>
      <c r="W102" s="102"/>
      <c r="X102" s="102"/>
      <c r="Y102" s="93"/>
      <c r="Z102" s="98"/>
      <c r="AA102" s="327"/>
      <c r="AB102" s="330"/>
      <c r="AC102" s="131"/>
    </row>
    <row r="103" spans="2:29" x14ac:dyDescent="0.25">
      <c r="B103" s="323"/>
      <c r="C103" s="324"/>
      <c r="D103" s="283" t="s">
        <v>126</v>
      </c>
      <c r="E103" s="273" t="s">
        <v>105</v>
      </c>
      <c r="F103" s="204" t="str">
        <f>F16</f>
        <v>Sentadilla</v>
      </c>
      <c r="G103" s="172">
        <v>3</v>
      </c>
      <c r="H103" s="173" t="s">
        <v>12</v>
      </c>
      <c r="I103" s="174">
        <v>3</v>
      </c>
      <c r="J103" s="175">
        <v>1</v>
      </c>
      <c r="K103" s="202">
        <f>LOOKUP($I103+$J103,'Calculadora RM'!$B$31:$B$50,'Calculadora RM'!$C$31:$C$50)</f>
        <v>0.86399999999999999</v>
      </c>
      <c r="L103" s="177">
        <f>MROUND(PRODUCT($Q$3,K103),'Calculadora RM'!B13)</f>
        <v>154</v>
      </c>
      <c r="M103" s="105">
        <f t="shared" si="1"/>
        <v>1386</v>
      </c>
      <c r="N103" s="106"/>
      <c r="O103" s="112"/>
      <c r="P103" s="140"/>
      <c r="Q103" s="148"/>
      <c r="R103" s="92"/>
      <c r="S103" s="92"/>
      <c r="T103" s="92"/>
      <c r="U103" s="149"/>
      <c r="V103" s="144"/>
      <c r="W103" s="92"/>
      <c r="X103" s="92"/>
      <c r="Y103" s="101"/>
      <c r="Z103" s="97"/>
      <c r="AA103" s="326"/>
      <c r="AB103" s="329"/>
      <c r="AC103" s="130"/>
    </row>
    <row r="104" spans="2:29" x14ac:dyDescent="0.25">
      <c r="B104" s="323"/>
      <c r="C104" s="324"/>
      <c r="D104" s="284"/>
      <c r="E104" s="274"/>
      <c r="F104" s="192" t="str">
        <f>F17</f>
        <v>Press banca</v>
      </c>
      <c r="G104" s="178">
        <v>4</v>
      </c>
      <c r="H104" s="179" t="s">
        <v>12</v>
      </c>
      <c r="I104" s="180">
        <v>4</v>
      </c>
      <c r="J104" s="181">
        <v>1</v>
      </c>
      <c r="K104" s="182">
        <f>LOOKUP($I104+$J104,'Calculadora RM'!$B$31:$B$50,'Calculadora RM'!$D$31:$D$50)</f>
        <v>0.87</v>
      </c>
      <c r="L104" s="183">
        <f>MROUND(PRODUCT($Q$5,K104),'Calculadora RM'!B13)</f>
        <v>116</v>
      </c>
      <c r="M104" s="108">
        <f t="shared" si="1"/>
        <v>1856</v>
      </c>
      <c r="N104" s="109"/>
      <c r="O104" s="110"/>
      <c r="P104" s="141"/>
      <c r="Q104" s="150"/>
      <c r="R104" s="101"/>
      <c r="S104" s="101"/>
      <c r="T104" s="101"/>
      <c r="U104" s="151"/>
      <c r="V104" s="145"/>
      <c r="W104" s="102"/>
      <c r="X104" s="102"/>
      <c r="Y104" s="101"/>
      <c r="Z104" s="98"/>
      <c r="AA104" s="327"/>
      <c r="AB104" s="330"/>
      <c r="AC104" s="131"/>
    </row>
    <row r="105" spans="2:29" x14ac:dyDescent="0.25">
      <c r="B105" s="323"/>
      <c r="C105" s="324"/>
      <c r="D105" s="284"/>
      <c r="E105" s="274"/>
      <c r="F105" s="192" t="str">
        <f>F18</f>
        <v>Remo</v>
      </c>
      <c r="G105" s="178">
        <v>3</v>
      </c>
      <c r="H105" s="179" t="s">
        <v>12</v>
      </c>
      <c r="I105" s="180">
        <v>5</v>
      </c>
      <c r="J105" s="181">
        <v>1</v>
      </c>
      <c r="K105" s="182">
        <f>LOOKUP($I105+$J105,'Calculadora RM'!$B$31:$B$50,'Calculadora RM'!$F$31:$F$50)</f>
        <v>0.85</v>
      </c>
      <c r="L105" s="183">
        <f>MROUND(PRODUCT($Q$6,K105),'Calculadora RM'!B13)</f>
        <v>89</v>
      </c>
      <c r="M105" s="108">
        <f t="shared" si="1"/>
        <v>1335</v>
      </c>
      <c r="N105" s="109">
        <f>SUM(M105)</f>
        <v>1335</v>
      </c>
      <c r="O105" s="110"/>
      <c r="P105" s="141"/>
      <c r="Q105" s="150"/>
      <c r="R105" s="101"/>
      <c r="S105" s="101"/>
      <c r="T105" s="101"/>
      <c r="U105" s="151"/>
      <c r="V105" s="145"/>
      <c r="W105" s="102"/>
      <c r="X105" s="102"/>
      <c r="Y105" s="101"/>
      <c r="Z105" s="98"/>
      <c r="AA105" s="327"/>
      <c r="AB105" s="330"/>
      <c r="AC105" s="131"/>
    </row>
    <row r="106" spans="2:29" ht="15.75" thickBot="1" x14ac:dyDescent="0.3">
      <c r="B106" s="323"/>
      <c r="C106" s="324"/>
      <c r="D106" s="284"/>
      <c r="E106" s="274"/>
      <c r="F106" s="192" t="str">
        <f>F19</f>
        <v>Hip thrust</v>
      </c>
      <c r="G106" s="178">
        <v>2</v>
      </c>
      <c r="H106" s="179" t="s">
        <v>12</v>
      </c>
      <c r="I106" s="180">
        <v>8</v>
      </c>
      <c r="J106" s="181">
        <v>2</v>
      </c>
      <c r="K106" s="182">
        <f>LOOKUP($I106+$J106,'Calculadora RM'!$B$31:$B$50,'Calculadora RM'!$F$31:$F$50)</f>
        <v>0.75</v>
      </c>
      <c r="L106" s="183">
        <f>MROUND(PRODUCT($Q$9,K106),'Calculadora RM'!B13)</f>
        <v>211</v>
      </c>
      <c r="M106" s="111">
        <f>PRODUCT(G106,I106,L106)</f>
        <v>3376</v>
      </c>
      <c r="N106" s="109"/>
      <c r="O106" s="110"/>
      <c r="P106" s="141"/>
      <c r="Q106" s="150"/>
      <c r="R106" s="101"/>
      <c r="S106" s="101"/>
      <c r="T106" s="101"/>
      <c r="U106" s="151"/>
      <c r="V106" s="145"/>
      <c r="W106" s="102"/>
      <c r="X106" s="102"/>
      <c r="Y106" s="93"/>
      <c r="Z106" s="98"/>
      <c r="AA106" s="327"/>
      <c r="AB106" s="330"/>
      <c r="AC106" s="131"/>
    </row>
    <row r="107" spans="2:29" ht="14.25" customHeight="1" x14ac:dyDescent="0.25">
      <c r="B107" s="323"/>
      <c r="C107" s="324"/>
      <c r="D107" s="284"/>
      <c r="E107" s="268" t="s">
        <v>106</v>
      </c>
      <c r="F107" s="204" t="str">
        <f>F20</f>
        <v>Peso muerto</v>
      </c>
      <c r="G107" s="172">
        <v>2</v>
      </c>
      <c r="H107" s="173" t="s">
        <v>12</v>
      </c>
      <c r="I107" s="174">
        <v>4</v>
      </c>
      <c r="J107" s="175">
        <v>2</v>
      </c>
      <c r="K107" s="202">
        <f>LOOKUP($I107+$J107,'Calculadora RM'!$B$31:$B$50,'Calculadora RM'!$E$31:$E$50)</f>
        <v>0.84699999999999998</v>
      </c>
      <c r="L107" s="177">
        <f>MROUND(PRODUCT($Q$4,K107),'Calculadora RM'!B13)</f>
        <v>172</v>
      </c>
      <c r="M107" s="114">
        <f t="shared" si="1"/>
        <v>1376</v>
      </c>
      <c r="N107" s="109">
        <f>SUM(M107)</f>
        <v>1376</v>
      </c>
      <c r="O107" s="112"/>
      <c r="P107" s="140"/>
      <c r="Q107" s="148"/>
      <c r="R107" s="92"/>
      <c r="S107" s="92"/>
      <c r="T107" s="92"/>
      <c r="U107" s="149"/>
      <c r="V107" s="144"/>
      <c r="W107" s="92"/>
      <c r="X107" s="92"/>
      <c r="Y107" s="101"/>
      <c r="Z107" s="97"/>
      <c r="AA107" s="326"/>
      <c r="AB107" s="329"/>
      <c r="AC107" s="130"/>
    </row>
    <row r="108" spans="2:29" ht="14.25" customHeight="1" x14ac:dyDescent="0.25">
      <c r="B108" s="323"/>
      <c r="C108" s="324"/>
      <c r="D108" s="284"/>
      <c r="E108" s="269"/>
      <c r="F108" s="192" t="str">
        <f>F21</f>
        <v>Press militar</v>
      </c>
      <c r="G108" s="178">
        <v>3</v>
      </c>
      <c r="H108" s="179" t="s">
        <v>12</v>
      </c>
      <c r="I108" s="180">
        <v>5</v>
      </c>
      <c r="J108" s="181">
        <v>1</v>
      </c>
      <c r="K108" s="182">
        <f>LOOKUP($I108+$J108,'Calculadora RM'!$B$31:$B$50,'Calculadora RM'!$F$31:$F$50)</f>
        <v>0.85</v>
      </c>
      <c r="L108" s="183">
        <f>MROUND(PRODUCT($Q$8,K108),'Calculadora RM'!B13)</f>
        <v>60</v>
      </c>
      <c r="M108" s="114">
        <f t="shared" ref="M108:M145" si="2">PRODUCT(G108,I108,L108)</f>
        <v>900</v>
      </c>
      <c r="N108" s="109">
        <f>SUM(M108)</f>
        <v>900</v>
      </c>
      <c r="O108" s="110"/>
      <c r="P108" s="141"/>
      <c r="Q108" s="150"/>
      <c r="R108" s="101"/>
      <c r="S108" s="101"/>
      <c r="T108" s="101"/>
      <c r="U108" s="151"/>
      <c r="V108" s="145"/>
      <c r="W108" s="102"/>
      <c r="X108" s="102"/>
      <c r="Y108" s="101"/>
      <c r="Z108" s="98"/>
      <c r="AA108" s="327"/>
      <c r="AB108" s="330"/>
      <c r="AC108" s="131"/>
    </row>
    <row r="109" spans="2:29" ht="14.25" customHeight="1" thickBot="1" x14ac:dyDescent="0.3">
      <c r="B109" s="323"/>
      <c r="C109" s="324"/>
      <c r="D109" s="284"/>
      <c r="E109" s="269"/>
      <c r="F109" s="192" t="str">
        <f>F22</f>
        <v>Dominadas</v>
      </c>
      <c r="G109" s="178">
        <v>3</v>
      </c>
      <c r="H109" s="179" t="s">
        <v>12</v>
      </c>
      <c r="I109" s="180">
        <v>5</v>
      </c>
      <c r="J109" s="181">
        <v>1</v>
      </c>
      <c r="K109" s="182">
        <f>LOOKUP($I109+$J109,'Calculadora RM'!$B$31:$B$50,'Calculadora RM'!$F$31:$F$50)</f>
        <v>0.85</v>
      </c>
      <c r="L109" s="183">
        <f>MROUND(PRODUCT($Q$7,K109)-'Calculadora RM'!$B$16,'Calculadora RM'!B13)</f>
        <v>21</v>
      </c>
      <c r="M109" s="115">
        <f>PRODUCT(G109,I109,L109+'Calculadora RM'!$B$16)</f>
        <v>1665</v>
      </c>
      <c r="N109" s="109">
        <f>SUM(M109)</f>
        <v>1665</v>
      </c>
      <c r="O109" s="110">
        <f>SUM(N109,N98)</f>
        <v>3285</v>
      </c>
      <c r="P109" s="141"/>
      <c r="Q109" s="150"/>
      <c r="R109" s="101"/>
      <c r="S109" s="101"/>
      <c r="T109" s="101"/>
      <c r="U109" s="151"/>
      <c r="V109" s="145"/>
      <c r="W109" s="102"/>
      <c r="X109" s="102"/>
      <c r="Y109" s="93"/>
      <c r="Z109" s="98"/>
      <c r="AA109" s="327"/>
      <c r="AB109" s="330"/>
      <c r="AC109" s="131"/>
    </row>
    <row r="110" spans="2:29" x14ac:dyDescent="0.25">
      <c r="B110" s="323"/>
      <c r="C110" s="324"/>
      <c r="D110" s="284"/>
      <c r="E110" s="270" t="s">
        <v>107</v>
      </c>
      <c r="F110" s="204" t="str">
        <f>F16</f>
        <v>Sentadilla</v>
      </c>
      <c r="G110" s="172">
        <v>4</v>
      </c>
      <c r="H110" s="173" t="s">
        <v>12</v>
      </c>
      <c r="I110" s="174">
        <v>3</v>
      </c>
      <c r="J110" s="175">
        <v>1</v>
      </c>
      <c r="K110" s="202">
        <f>LOOKUP($I110+$J110,'Calculadora RM'!$B$31:$B$50,'Calculadora RM'!$C$31:$C$50)</f>
        <v>0.86399999999999999</v>
      </c>
      <c r="L110" s="177">
        <f>MROUND(PRODUCT($Q$3,K110),'Calculadora RM'!B13)</f>
        <v>154</v>
      </c>
      <c r="M110" s="116">
        <f t="shared" si="2"/>
        <v>1848</v>
      </c>
      <c r="N110" s="109">
        <f>SUM(M103,M110)</f>
        <v>3234</v>
      </c>
      <c r="O110" s="112"/>
      <c r="P110" s="140"/>
      <c r="Q110" s="148"/>
      <c r="R110" s="92"/>
      <c r="S110" s="92"/>
      <c r="T110" s="92"/>
      <c r="U110" s="149"/>
      <c r="V110" s="144"/>
      <c r="W110" s="92"/>
      <c r="X110" s="92"/>
      <c r="Y110" s="101"/>
      <c r="Z110" s="97"/>
      <c r="AA110" s="326"/>
      <c r="AB110" s="329"/>
      <c r="AC110" s="130"/>
    </row>
    <row r="111" spans="2:29" x14ac:dyDescent="0.25">
      <c r="B111" s="323"/>
      <c r="C111" s="324"/>
      <c r="D111" s="284"/>
      <c r="E111" s="271"/>
      <c r="F111" s="192" t="str">
        <f>F17</f>
        <v>Press banca</v>
      </c>
      <c r="G111" s="178">
        <v>4</v>
      </c>
      <c r="H111" s="179" t="s">
        <v>12</v>
      </c>
      <c r="I111" s="180">
        <v>4</v>
      </c>
      <c r="J111" s="181">
        <v>1</v>
      </c>
      <c r="K111" s="182">
        <f>LOOKUP($I111+$J111,'Calculadora RM'!$B$31:$B$50,'Calculadora RM'!$D$31:$D$50)</f>
        <v>0.87</v>
      </c>
      <c r="L111" s="183">
        <f>MROUND(PRODUCT($Q$5,K111),'Calculadora RM'!B13)</f>
        <v>116</v>
      </c>
      <c r="M111" s="116">
        <f t="shared" si="2"/>
        <v>1856</v>
      </c>
      <c r="N111" s="109">
        <f>SUM(M104,M111)</f>
        <v>3712</v>
      </c>
      <c r="O111" s="110"/>
      <c r="P111" s="141"/>
      <c r="Q111" s="150"/>
      <c r="R111" s="101"/>
      <c r="S111" s="101"/>
      <c r="T111" s="101"/>
      <c r="U111" s="151"/>
      <c r="V111" s="145"/>
      <c r="W111" s="102"/>
      <c r="X111" s="102"/>
      <c r="Y111" s="101"/>
      <c r="Z111" s="98"/>
      <c r="AA111" s="327"/>
      <c r="AB111" s="330"/>
      <c r="AC111" s="131"/>
    </row>
    <row r="112" spans="2:29" x14ac:dyDescent="0.25">
      <c r="B112" s="323"/>
      <c r="C112" s="324"/>
      <c r="D112" s="284"/>
      <c r="E112" s="271"/>
      <c r="F112" s="192" t="str">
        <f>F25</f>
        <v>Remo con mancuerna</v>
      </c>
      <c r="G112" s="178">
        <v>3</v>
      </c>
      <c r="H112" s="179" t="s">
        <v>12</v>
      </c>
      <c r="I112" s="180">
        <v>8</v>
      </c>
      <c r="J112" s="181">
        <v>2</v>
      </c>
      <c r="K112" s="182"/>
      <c r="L112" s="183"/>
      <c r="M112" s="116"/>
      <c r="N112" s="109"/>
      <c r="O112" s="110"/>
      <c r="P112" s="141"/>
      <c r="Q112" s="150"/>
      <c r="R112" s="101"/>
      <c r="S112" s="101"/>
      <c r="T112" s="101"/>
      <c r="U112" s="151"/>
      <c r="V112" s="145"/>
      <c r="W112" s="102"/>
      <c r="X112" s="102"/>
      <c r="Y112" s="101"/>
      <c r="Z112" s="98"/>
      <c r="AA112" s="327"/>
      <c r="AB112" s="330"/>
      <c r="AC112" s="131"/>
    </row>
    <row r="113" spans="2:29" ht="15.75" thickBot="1" x14ac:dyDescent="0.3">
      <c r="B113" s="323"/>
      <c r="C113" s="324"/>
      <c r="D113" s="284"/>
      <c r="E113" s="271"/>
      <c r="F113" s="192" t="str">
        <f>F19</f>
        <v>Hip thrust</v>
      </c>
      <c r="G113" s="178">
        <v>2</v>
      </c>
      <c r="H113" s="179" t="s">
        <v>12</v>
      </c>
      <c r="I113" s="180">
        <v>5</v>
      </c>
      <c r="J113" s="181">
        <v>1</v>
      </c>
      <c r="K113" s="182">
        <f>LOOKUP($I113+$J113,'Calculadora RM'!$B$31:$B$50,'Calculadora RM'!$F$31:$F$50)</f>
        <v>0.85</v>
      </c>
      <c r="L113" s="183">
        <f>MROUND(PRODUCT($Q$9,K113),'Calculadora RM'!B13)</f>
        <v>239</v>
      </c>
      <c r="M113" s="116">
        <f>PRODUCT(G113,I113,L113)</f>
        <v>2390</v>
      </c>
      <c r="N113" s="109">
        <f>SUM(M113,M106)</f>
        <v>5766</v>
      </c>
      <c r="O113" s="110"/>
      <c r="P113" s="141"/>
      <c r="Q113" s="150"/>
      <c r="R113" s="101"/>
      <c r="S113" s="101"/>
      <c r="T113" s="101"/>
      <c r="U113" s="151"/>
      <c r="V113" s="145"/>
      <c r="W113" s="102"/>
      <c r="X113" s="102"/>
      <c r="Y113" s="93"/>
      <c r="Z113" s="98"/>
      <c r="AA113" s="327"/>
      <c r="AB113" s="330"/>
      <c r="AC113" s="131"/>
    </row>
    <row r="114" spans="2:29" x14ac:dyDescent="0.25">
      <c r="B114" s="323"/>
      <c r="C114" s="324"/>
      <c r="D114" s="295" t="s">
        <v>127</v>
      </c>
      <c r="E114" s="273" t="s">
        <v>105</v>
      </c>
      <c r="F114" s="204" t="str">
        <f>F16</f>
        <v>Sentadilla</v>
      </c>
      <c r="G114" s="172">
        <v>3</v>
      </c>
      <c r="H114" s="173" t="s">
        <v>12</v>
      </c>
      <c r="I114" s="174">
        <v>4</v>
      </c>
      <c r="J114" s="175">
        <v>2</v>
      </c>
      <c r="K114" s="202">
        <f>LOOKUP($I114+$J114,'Calculadora RM'!$B$31:$B$50,'Calculadora RM'!$C$31:$C$50)</f>
        <v>0.80500000000000005</v>
      </c>
      <c r="L114" s="177">
        <f>MROUND(PRODUCT($Q$3,K114),'Calculadora RM'!B13)</f>
        <v>143</v>
      </c>
      <c r="M114" s="105">
        <f t="shared" si="2"/>
        <v>1716</v>
      </c>
      <c r="N114" s="119"/>
      <c r="O114" s="112"/>
      <c r="P114" s="140"/>
      <c r="Q114" s="148"/>
      <c r="R114" s="92"/>
      <c r="S114" s="92"/>
      <c r="T114" s="92"/>
      <c r="U114" s="149"/>
      <c r="V114" s="144"/>
      <c r="W114" s="92"/>
      <c r="X114" s="92"/>
      <c r="Y114" s="101"/>
      <c r="Z114" s="97"/>
      <c r="AA114" s="326"/>
      <c r="AB114" s="329"/>
      <c r="AC114" s="130"/>
    </row>
    <row r="115" spans="2:29" x14ac:dyDescent="0.25">
      <c r="B115" s="323"/>
      <c r="C115" s="324"/>
      <c r="D115" s="296"/>
      <c r="E115" s="274"/>
      <c r="F115" s="192" t="str">
        <f>F17</f>
        <v>Press banca</v>
      </c>
      <c r="G115" s="178">
        <v>3</v>
      </c>
      <c r="H115" s="179" t="s">
        <v>12</v>
      </c>
      <c r="I115" s="180">
        <v>3</v>
      </c>
      <c r="J115" s="181">
        <v>1</v>
      </c>
      <c r="K115" s="182">
        <f>LOOKUP($I115+$J115,'Calculadora RM'!$B$31:$B$50,'Calculadora RM'!$D$31:$D$50)</f>
        <v>0.89700000000000002</v>
      </c>
      <c r="L115" s="183">
        <f>MROUND(PRODUCT($Q$5,K115),'Calculadora RM'!B13)</f>
        <v>119</v>
      </c>
      <c r="M115" s="108">
        <f t="shared" si="2"/>
        <v>1071</v>
      </c>
      <c r="N115" s="120"/>
      <c r="O115" s="110"/>
      <c r="P115" s="141"/>
      <c r="Q115" s="150"/>
      <c r="R115" s="101"/>
      <c r="S115" s="101"/>
      <c r="T115" s="101"/>
      <c r="U115" s="151"/>
      <c r="V115" s="145"/>
      <c r="W115" s="102"/>
      <c r="X115" s="102"/>
      <c r="Y115" s="101"/>
      <c r="Z115" s="98"/>
      <c r="AA115" s="327"/>
      <c r="AB115" s="330"/>
      <c r="AC115" s="131"/>
    </row>
    <row r="116" spans="2:29" x14ac:dyDescent="0.25">
      <c r="B116" s="323"/>
      <c r="C116" s="324"/>
      <c r="D116" s="296"/>
      <c r="E116" s="274"/>
      <c r="F116" s="192" t="str">
        <f>F20</f>
        <v>Peso muerto</v>
      </c>
      <c r="G116" s="178">
        <v>1</v>
      </c>
      <c r="H116" s="179" t="s">
        <v>12</v>
      </c>
      <c r="I116" s="180">
        <v>4</v>
      </c>
      <c r="J116" s="181">
        <v>3</v>
      </c>
      <c r="K116" s="182">
        <f>LOOKUP($I116+$J116,'Calculadora RM'!$B$31:$B$50,'Calculadora RM'!$E$31:$E$50)</f>
        <v>0.83499999999999996</v>
      </c>
      <c r="L116" s="183">
        <f>MROUND(PRODUCT($Q$4,K116),'Calculadora RM'!B13)</f>
        <v>170</v>
      </c>
      <c r="M116" s="108">
        <f t="shared" si="2"/>
        <v>680</v>
      </c>
      <c r="N116" s="120">
        <f>SUM(M116)</f>
        <v>680</v>
      </c>
      <c r="O116" s="123">
        <f>SUM(N116,N107,N96)</f>
        <v>3432</v>
      </c>
      <c r="P116" s="141"/>
      <c r="Q116" s="150"/>
      <c r="R116" s="101"/>
      <c r="S116" s="101"/>
      <c r="T116" s="101"/>
      <c r="U116" s="151"/>
      <c r="V116" s="145"/>
      <c r="W116" s="102"/>
      <c r="X116" s="102"/>
      <c r="Y116" s="101"/>
      <c r="Z116" s="98"/>
      <c r="AA116" s="327"/>
      <c r="AB116" s="330"/>
      <c r="AC116" s="131"/>
    </row>
    <row r="117" spans="2:29" ht="15.75" thickBot="1" x14ac:dyDescent="0.3">
      <c r="B117" s="323"/>
      <c r="C117" s="324"/>
      <c r="D117" s="296"/>
      <c r="E117" s="274"/>
      <c r="F117" s="192" t="str">
        <f>F21</f>
        <v>Press militar</v>
      </c>
      <c r="G117" s="178">
        <v>2</v>
      </c>
      <c r="H117" s="179" t="s">
        <v>12</v>
      </c>
      <c r="I117" s="180">
        <v>5</v>
      </c>
      <c r="J117" s="181">
        <v>3</v>
      </c>
      <c r="K117" s="182">
        <f>LOOKUP($I117+$J117,'Calculadora RM'!$B$31:$B$50,'Calculadora RM'!$F$31:$F$50)</f>
        <v>0.8</v>
      </c>
      <c r="L117" s="189">
        <f>MROUND(PRODUCT($Q$8,K117),'Calculadora RM'!B13)</f>
        <v>56</v>
      </c>
      <c r="M117" s="111">
        <f t="shared" si="2"/>
        <v>560</v>
      </c>
      <c r="N117" s="120">
        <f>SUM(M117)</f>
        <v>560</v>
      </c>
      <c r="O117" s="123">
        <f>SUM(N117,N108,N97)</f>
        <v>2330</v>
      </c>
      <c r="P117" s="141"/>
      <c r="Q117" s="150"/>
      <c r="R117" s="101"/>
      <c r="S117" s="101"/>
      <c r="T117" s="101"/>
      <c r="U117" s="151"/>
      <c r="V117" s="145"/>
      <c r="W117" s="102"/>
      <c r="X117" s="102"/>
      <c r="Y117" s="93"/>
      <c r="Z117" s="98"/>
      <c r="AA117" s="327"/>
      <c r="AB117" s="330"/>
      <c r="AC117" s="131"/>
    </row>
    <row r="118" spans="2:29" x14ac:dyDescent="0.25">
      <c r="B118" s="323"/>
      <c r="C118" s="324"/>
      <c r="D118" s="296"/>
      <c r="E118" s="270" t="s">
        <v>106</v>
      </c>
      <c r="F118" s="204" t="str">
        <f>F16</f>
        <v>Sentadilla</v>
      </c>
      <c r="G118" s="172">
        <v>5</v>
      </c>
      <c r="H118" s="173" t="s">
        <v>12</v>
      </c>
      <c r="I118" s="174">
        <v>3</v>
      </c>
      <c r="J118" s="175">
        <v>1</v>
      </c>
      <c r="K118" s="176">
        <f>LOOKUP($I118+$J118,'Calculadora RM'!$B$31:$B$50,'Calculadora RM'!$C$31:$C$50)</f>
        <v>0.86399999999999999</v>
      </c>
      <c r="L118" s="200">
        <f>MROUND(PRODUCT($Q$3,K118),'Calculadora RM'!B13)</f>
        <v>154</v>
      </c>
      <c r="M118" s="116">
        <f t="shared" si="2"/>
        <v>2310</v>
      </c>
      <c r="N118" s="120">
        <f>SUM(M114,M118)</f>
        <v>4026</v>
      </c>
      <c r="O118" s="123">
        <f>SUM(N99,N110,N118)</f>
        <v>13772</v>
      </c>
      <c r="P118" s="140"/>
      <c r="Q118" s="148"/>
      <c r="R118" s="92"/>
      <c r="S118" s="92"/>
      <c r="T118" s="92"/>
      <c r="U118" s="149"/>
      <c r="V118" s="144"/>
      <c r="W118" s="92"/>
      <c r="X118" s="92"/>
      <c r="Y118" s="101"/>
      <c r="Z118" s="97"/>
      <c r="AA118" s="326"/>
      <c r="AB118" s="329"/>
      <c r="AC118" s="130"/>
    </row>
    <row r="119" spans="2:29" x14ac:dyDescent="0.25">
      <c r="B119" s="323"/>
      <c r="C119" s="324"/>
      <c r="D119" s="296"/>
      <c r="E119" s="271"/>
      <c r="F119" s="192" t="str">
        <f>F17</f>
        <v>Press banca</v>
      </c>
      <c r="G119" s="178">
        <v>3</v>
      </c>
      <c r="H119" s="179" t="s">
        <v>12</v>
      </c>
      <c r="I119" s="180">
        <v>3</v>
      </c>
      <c r="J119" s="181">
        <v>1</v>
      </c>
      <c r="K119" s="190">
        <f>LOOKUP($I119+$J119,'Calculadora RM'!$B$31:$B$50,'Calculadora RM'!$D$31:$D$50)</f>
        <v>0.89700000000000002</v>
      </c>
      <c r="L119" s="183">
        <f>MROUND(PRODUCT($Q$5,K119),'Calculadora RM'!B13)</f>
        <v>119</v>
      </c>
      <c r="M119" s="116">
        <f t="shared" si="2"/>
        <v>1071</v>
      </c>
      <c r="N119" s="120">
        <f>SUM(M115,M119)</f>
        <v>2142</v>
      </c>
      <c r="O119" s="123">
        <f>SUM(N101,N111,N119)</f>
        <v>8638</v>
      </c>
      <c r="P119" s="141"/>
      <c r="Q119" s="150"/>
      <c r="R119" s="101"/>
      <c r="S119" s="101"/>
      <c r="T119" s="101"/>
      <c r="U119" s="151"/>
      <c r="V119" s="145"/>
      <c r="W119" s="102"/>
      <c r="X119" s="102"/>
      <c r="Y119" s="101"/>
      <c r="Z119" s="98"/>
      <c r="AA119" s="327"/>
      <c r="AB119" s="330"/>
      <c r="AC119" s="131"/>
    </row>
    <row r="120" spans="2:29" x14ac:dyDescent="0.25">
      <c r="B120" s="323"/>
      <c r="C120" s="324"/>
      <c r="D120" s="296"/>
      <c r="E120" s="271"/>
      <c r="F120" s="192" t="str">
        <f>F18</f>
        <v>Remo</v>
      </c>
      <c r="G120" s="178">
        <v>2</v>
      </c>
      <c r="H120" s="179" t="s">
        <v>12</v>
      </c>
      <c r="I120" s="180">
        <v>5</v>
      </c>
      <c r="J120" s="181">
        <v>3</v>
      </c>
      <c r="K120" s="190">
        <f>LOOKUP($I120+$J120,'Calculadora RM'!$B$31:$B$50,'Calculadora RM'!$F$31:$F$50)</f>
        <v>0.8</v>
      </c>
      <c r="L120" s="183">
        <f>MROUND(PRODUCT($Q$6,K120),'Calculadora RM'!B13)</f>
        <v>84</v>
      </c>
      <c r="M120" s="116">
        <f t="shared" si="2"/>
        <v>840</v>
      </c>
      <c r="N120" s="120">
        <f>SUM(M120)</f>
        <v>840</v>
      </c>
      <c r="O120" s="123">
        <f>SUM(N120,N105,N93)</f>
        <v>3480</v>
      </c>
      <c r="P120" s="141"/>
      <c r="Q120" s="150"/>
      <c r="R120" s="101"/>
      <c r="S120" s="101"/>
      <c r="T120" s="101"/>
      <c r="U120" s="151"/>
      <c r="V120" s="145"/>
      <c r="W120" s="102"/>
      <c r="X120" s="102"/>
      <c r="Y120" s="101"/>
      <c r="Z120" s="98"/>
      <c r="AA120" s="327"/>
      <c r="AB120" s="330"/>
      <c r="AC120" s="131"/>
    </row>
    <row r="121" spans="2:29" ht="15.75" thickBot="1" x14ac:dyDescent="0.3">
      <c r="B121" s="323"/>
      <c r="C121" s="324"/>
      <c r="D121" s="296"/>
      <c r="E121" s="271"/>
      <c r="F121" s="355" t="str">
        <f>F19</f>
        <v>Hip thrust</v>
      </c>
      <c r="G121" s="356">
        <v>2</v>
      </c>
      <c r="H121" s="357" t="s">
        <v>12</v>
      </c>
      <c r="I121" s="358">
        <v>8</v>
      </c>
      <c r="J121" s="359">
        <v>3</v>
      </c>
      <c r="K121" s="361">
        <f>LOOKUP($I121+$J121,'Calculadora RM'!$B$31:$B$50,'Calculadora RM'!$F$31:$F$50)</f>
        <v>0.7</v>
      </c>
      <c r="L121" s="360">
        <f>MROUND(PRODUCT($Q$9,K121),'Calculadora RM'!B13)</f>
        <v>197</v>
      </c>
      <c r="M121" s="116">
        <f>PRODUCT(G121,I121,L121)</f>
        <v>3152</v>
      </c>
      <c r="N121" s="121">
        <f>SUM(M121)</f>
        <v>3152</v>
      </c>
      <c r="O121" s="362">
        <f>SUM(N121,N113,N100)</f>
        <v>14624</v>
      </c>
      <c r="P121" s="141"/>
      <c r="Q121" s="150"/>
      <c r="R121" s="101"/>
      <c r="S121" s="101"/>
      <c r="T121" s="101"/>
      <c r="U121" s="151"/>
      <c r="V121" s="145"/>
      <c r="W121" s="102"/>
      <c r="X121" s="102"/>
      <c r="Y121" s="93"/>
      <c r="Z121" s="98"/>
      <c r="AA121" s="327"/>
      <c r="AB121" s="330"/>
      <c r="AC121" s="131"/>
    </row>
    <row r="122" spans="2:29" x14ac:dyDescent="0.25">
      <c r="B122" s="315" t="s">
        <v>4</v>
      </c>
      <c r="C122" s="316"/>
      <c r="D122" s="283" t="s">
        <v>128</v>
      </c>
      <c r="E122" s="273" t="s">
        <v>105</v>
      </c>
      <c r="F122" s="204" t="str">
        <f>F16</f>
        <v>Sentadilla</v>
      </c>
      <c r="G122" s="172">
        <v>3</v>
      </c>
      <c r="H122" s="173" t="s">
        <v>12</v>
      </c>
      <c r="I122" s="174">
        <v>3</v>
      </c>
      <c r="J122" s="175">
        <v>1</v>
      </c>
      <c r="K122" s="202">
        <f>LOOKUP($I122+$J122,'Calculadora RM'!$B$31:$B$50,'Calculadora RM'!$C$31:$C$50)</f>
        <v>0.86399999999999999</v>
      </c>
      <c r="L122" s="177">
        <f>MROUND(PRODUCT($Q$3,K122),'Calculadora RM'!B13)</f>
        <v>154</v>
      </c>
      <c r="M122" s="105">
        <f t="shared" si="2"/>
        <v>1386</v>
      </c>
      <c r="N122" s="109"/>
      <c r="O122" s="126"/>
      <c r="P122" s="140"/>
      <c r="Q122" s="148"/>
      <c r="R122" s="92"/>
      <c r="S122" s="92"/>
      <c r="T122" s="92"/>
      <c r="U122" s="149"/>
      <c r="V122" s="144"/>
      <c r="W122" s="92"/>
      <c r="X122" s="92"/>
      <c r="Y122" s="101"/>
      <c r="Z122" s="97"/>
      <c r="AA122" s="326"/>
      <c r="AB122" s="329"/>
      <c r="AC122" s="130"/>
    </row>
    <row r="123" spans="2:29" x14ac:dyDescent="0.25">
      <c r="B123" s="317"/>
      <c r="C123" s="318"/>
      <c r="D123" s="284"/>
      <c r="E123" s="274"/>
      <c r="F123" s="192" t="str">
        <f>F22</f>
        <v>Dominadas</v>
      </c>
      <c r="G123" s="178">
        <v>3</v>
      </c>
      <c r="H123" s="179" t="s">
        <v>12</v>
      </c>
      <c r="I123" s="180">
        <v>4</v>
      </c>
      <c r="J123" s="181">
        <v>1</v>
      </c>
      <c r="K123" s="182">
        <f>LOOKUP($I123+$J123,'Calculadora RM'!$B$31:$B$50,'Calculadora RM'!$F$31:$F$50)</f>
        <v>0.87</v>
      </c>
      <c r="L123" s="183">
        <f>MROUND(PRODUCT($Q$7,K123)-'Calculadora RM'!$B$16,'Calculadora RM'!B13)</f>
        <v>23</v>
      </c>
      <c r="M123" s="108">
        <f>PRODUCT(G123,I123,L123+'Calculadora RM'!$B$16)</f>
        <v>1356</v>
      </c>
      <c r="N123" s="109">
        <f>SUM(M123)</f>
        <v>1356</v>
      </c>
      <c r="O123" s="126"/>
      <c r="P123" s="141"/>
      <c r="Q123" s="150"/>
      <c r="R123" s="101"/>
      <c r="S123" s="101"/>
      <c r="T123" s="101"/>
      <c r="U123" s="151"/>
      <c r="V123" s="145"/>
      <c r="W123" s="102"/>
      <c r="X123" s="102"/>
      <c r="Y123" s="101"/>
      <c r="Z123" s="98"/>
      <c r="AA123" s="327"/>
      <c r="AB123" s="330"/>
      <c r="AC123" s="131"/>
    </row>
    <row r="124" spans="2:29" ht="15.75" thickBot="1" x14ac:dyDescent="0.3">
      <c r="B124" s="317"/>
      <c r="C124" s="318"/>
      <c r="D124" s="284"/>
      <c r="E124" s="274"/>
      <c r="F124" s="194" t="str">
        <f>F19</f>
        <v>Hip thrust</v>
      </c>
      <c r="G124" s="184">
        <v>2</v>
      </c>
      <c r="H124" s="185" t="s">
        <v>12</v>
      </c>
      <c r="I124" s="186">
        <v>6</v>
      </c>
      <c r="J124" s="187">
        <v>2</v>
      </c>
      <c r="K124" s="203">
        <f>LOOKUP($I124+$J124,'Calculadora RM'!$B$31:$B$50,'Calculadora RM'!$F$31:$F$50)</f>
        <v>0.8</v>
      </c>
      <c r="L124" s="189">
        <f>MROUND(PRODUCT($Q$9,K124),'Calculadora RM'!B13)</f>
        <v>225</v>
      </c>
      <c r="M124" s="111">
        <f>PRODUCT(G124,I124,L124)</f>
        <v>2700</v>
      </c>
      <c r="N124" s="109"/>
      <c r="O124" s="126"/>
      <c r="P124" s="141"/>
      <c r="Q124" s="150"/>
      <c r="R124" s="101"/>
      <c r="S124" s="101"/>
      <c r="T124" s="101"/>
      <c r="U124" s="151"/>
      <c r="V124" s="145"/>
      <c r="W124" s="102"/>
      <c r="X124" s="102"/>
      <c r="Y124" s="93"/>
      <c r="Z124" s="98"/>
      <c r="AA124" s="327"/>
      <c r="AB124" s="330"/>
      <c r="AC124" s="131"/>
    </row>
    <row r="125" spans="2:29" x14ac:dyDescent="0.25">
      <c r="B125" s="317"/>
      <c r="C125" s="318"/>
      <c r="D125" s="284"/>
      <c r="E125" s="268" t="s">
        <v>106</v>
      </c>
      <c r="F125" s="204" t="str">
        <f>F20</f>
        <v>Peso muerto</v>
      </c>
      <c r="G125" s="172">
        <v>2</v>
      </c>
      <c r="H125" s="173" t="s">
        <v>12</v>
      </c>
      <c r="I125" s="174">
        <v>3</v>
      </c>
      <c r="J125" s="175">
        <v>2</v>
      </c>
      <c r="K125" s="202">
        <f>LOOKUP($I125+$J125,'Calculadora RM'!$B$31:$B$50,'Calculadora RM'!$E$31:$E$50)</f>
        <v>0.85899999999999999</v>
      </c>
      <c r="L125" s="177">
        <f>MROUND(PRODUCT($Q$4,K125),'Calculadora RM'!B13)</f>
        <v>174</v>
      </c>
      <c r="M125" s="114">
        <f t="shared" si="2"/>
        <v>1044</v>
      </c>
      <c r="N125" s="109">
        <f>SUM(M125)</f>
        <v>1044</v>
      </c>
      <c r="O125" s="127"/>
      <c r="P125" s="140"/>
      <c r="Q125" s="148"/>
      <c r="R125" s="92"/>
      <c r="S125" s="92"/>
      <c r="T125" s="92"/>
      <c r="U125" s="149"/>
      <c r="V125" s="144"/>
      <c r="W125" s="92"/>
      <c r="X125" s="92"/>
      <c r="Y125" s="101"/>
      <c r="Z125" s="97"/>
      <c r="AA125" s="326"/>
      <c r="AB125" s="329"/>
      <c r="AC125" s="130"/>
    </row>
    <row r="126" spans="2:29" x14ac:dyDescent="0.25">
      <c r="B126" s="317"/>
      <c r="C126" s="318"/>
      <c r="D126" s="284"/>
      <c r="E126" s="269"/>
      <c r="F126" s="192" t="str">
        <f>F17</f>
        <v>Press banca</v>
      </c>
      <c r="G126" s="178">
        <v>3</v>
      </c>
      <c r="H126" s="179" t="s">
        <v>12</v>
      </c>
      <c r="I126" s="180">
        <v>3</v>
      </c>
      <c r="J126" s="181">
        <v>1</v>
      </c>
      <c r="K126" s="182">
        <f>LOOKUP($I126+$J126,'Calculadora RM'!$B$31:$B$50,'Calculadora RM'!$D$31:$D$50)</f>
        <v>0.89700000000000002</v>
      </c>
      <c r="L126" s="183">
        <f>MROUND(PRODUCT($Q$5,K126),'Calculadora RM'!B13)</f>
        <v>119</v>
      </c>
      <c r="M126" s="114">
        <f t="shared" si="2"/>
        <v>1071</v>
      </c>
      <c r="N126" s="109">
        <f>SUM(M126)</f>
        <v>1071</v>
      </c>
      <c r="O126" s="126"/>
      <c r="P126" s="141"/>
      <c r="Q126" s="150"/>
      <c r="R126" s="101"/>
      <c r="S126" s="101"/>
      <c r="T126" s="101"/>
      <c r="U126" s="151"/>
      <c r="V126" s="145"/>
      <c r="W126" s="102"/>
      <c r="X126" s="102"/>
      <c r="Y126" s="101"/>
      <c r="Z126" s="98"/>
      <c r="AA126" s="327"/>
      <c r="AB126" s="330"/>
      <c r="AC126" s="131"/>
    </row>
    <row r="127" spans="2:29" ht="15.75" thickBot="1" x14ac:dyDescent="0.3">
      <c r="B127" s="317"/>
      <c r="C127" s="318"/>
      <c r="D127" s="284"/>
      <c r="E127" s="269"/>
      <c r="F127" s="192" t="str">
        <f>F18</f>
        <v>Remo</v>
      </c>
      <c r="G127" s="178">
        <v>3</v>
      </c>
      <c r="H127" s="179" t="s">
        <v>12</v>
      </c>
      <c r="I127" s="180">
        <v>5</v>
      </c>
      <c r="J127" s="181">
        <v>1</v>
      </c>
      <c r="K127" s="182">
        <f>LOOKUP($I127+$J127,'Calculadora RM'!$B$31:$B$50,'Calculadora RM'!$F$31:$F$50)</f>
        <v>0.85</v>
      </c>
      <c r="L127" s="183">
        <f>MROUND(PRODUCT($Q$6,K127),'Calculadora RM'!B13)</f>
        <v>89</v>
      </c>
      <c r="M127" s="114">
        <f t="shared" si="2"/>
        <v>1335</v>
      </c>
      <c r="N127" s="109">
        <f>SUM(M127)</f>
        <v>1335</v>
      </c>
      <c r="O127" s="126"/>
      <c r="P127" s="141"/>
      <c r="Q127" s="150"/>
      <c r="R127" s="101"/>
      <c r="S127" s="101"/>
      <c r="T127" s="101"/>
      <c r="U127" s="151"/>
      <c r="V127" s="145"/>
      <c r="W127" s="102"/>
      <c r="X127" s="102"/>
      <c r="Y127" s="93"/>
      <c r="Z127" s="98"/>
      <c r="AA127" s="327"/>
      <c r="AB127" s="330"/>
      <c r="AC127" s="131"/>
    </row>
    <row r="128" spans="2:29" x14ac:dyDescent="0.25">
      <c r="B128" s="317"/>
      <c r="C128" s="318"/>
      <c r="D128" s="284"/>
      <c r="E128" s="270" t="s">
        <v>107</v>
      </c>
      <c r="F128" s="204" t="str">
        <f>F16</f>
        <v>Sentadilla</v>
      </c>
      <c r="G128" s="172">
        <v>2</v>
      </c>
      <c r="H128" s="173" t="s">
        <v>12</v>
      </c>
      <c r="I128" s="174">
        <v>2</v>
      </c>
      <c r="J128" s="175">
        <v>1</v>
      </c>
      <c r="K128" s="202">
        <f>LOOKUP($I128+$J128,'Calculadora RM'!$B$31:$B$50,'Calculadora RM'!$C$31:$C$50)</f>
        <v>0.88500000000000001</v>
      </c>
      <c r="L128" s="177">
        <f>MROUND(PRODUCT($Q$3,K128),'Calculadora RM'!B13)</f>
        <v>158</v>
      </c>
      <c r="M128" s="124">
        <f t="shared" si="2"/>
        <v>632</v>
      </c>
      <c r="N128" s="109">
        <f>SUM(M122,M128)</f>
        <v>2018</v>
      </c>
      <c r="O128" s="127"/>
      <c r="P128" s="140"/>
      <c r="Q128" s="148"/>
      <c r="R128" s="92"/>
      <c r="S128" s="92"/>
      <c r="T128" s="92"/>
      <c r="U128" s="149"/>
      <c r="V128" s="144"/>
      <c r="W128" s="92"/>
      <c r="X128" s="92"/>
      <c r="Y128" s="101"/>
      <c r="Z128" s="97"/>
      <c r="AA128" s="326"/>
      <c r="AB128" s="329"/>
      <c r="AC128" s="130"/>
    </row>
    <row r="129" spans="2:29" x14ac:dyDescent="0.25">
      <c r="B129" s="317"/>
      <c r="C129" s="318"/>
      <c r="D129" s="284"/>
      <c r="E129" s="271"/>
      <c r="F129" s="192" t="str">
        <f>F19</f>
        <v>Hip thrust</v>
      </c>
      <c r="G129" s="178">
        <v>2</v>
      </c>
      <c r="H129" s="179" t="s">
        <v>12</v>
      </c>
      <c r="I129" s="180">
        <v>4</v>
      </c>
      <c r="J129" s="181">
        <v>2</v>
      </c>
      <c r="K129" s="182">
        <f>LOOKUP($I129+$J129,'Calculadora RM'!$B$31:$B$50,'Calculadora RM'!$F$31:$F$50)</f>
        <v>0.85</v>
      </c>
      <c r="L129" s="183">
        <f>MROUND(PRODUCT($Q$9,K129),'Calculadora RM'!B13)</f>
        <v>239</v>
      </c>
      <c r="M129" s="116">
        <f>PRODUCT(G129,I129,L129)</f>
        <v>1912</v>
      </c>
      <c r="N129" s="109">
        <f>SUM(M129,M124)</f>
        <v>4612</v>
      </c>
      <c r="O129" s="126"/>
      <c r="P129" s="141"/>
      <c r="Q129" s="150"/>
      <c r="R129" s="101"/>
      <c r="S129" s="101"/>
      <c r="T129" s="101"/>
      <c r="U129" s="151"/>
      <c r="V129" s="145"/>
      <c r="W129" s="102"/>
      <c r="X129" s="102"/>
      <c r="Y129" s="101"/>
      <c r="Z129" s="98"/>
      <c r="AA129" s="327"/>
      <c r="AB129" s="330"/>
      <c r="AC129" s="131"/>
    </row>
    <row r="130" spans="2:29" x14ac:dyDescent="0.25">
      <c r="B130" s="317"/>
      <c r="C130" s="318"/>
      <c r="D130" s="284"/>
      <c r="E130" s="271"/>
      <c r="F130" s="192" t="str">
        <f>F21</f>
        <v>Press militar</v>
      </c>
      <c r="G130" s="178">
        <v>3</v>
      </c>
      <c r="H130" s="179" t="s">
        <v>12</v>
      </c>
      <c r="I130" s="180">
        <v>5</v>
      </c>
      <c r="J130" s="181">
        <v>1</v>
      </c>
      <c r="K130" s="182">
        <f>LOOKUP($I130+$J130,'Calculadora RM'!$B$31:$B$50,'Calculadora RM'!$F$31:$F$50)</f>
        <v>0.85</v>
      </c>
      <c r="L130" s="183">
        <f>MROUND(PRODUCT($Q$8,K130),'Calculadora RM'!B13)</f>
        <v>60</v>
      </c>
      <c r="M130" s="116">
        <f t="shared" si="2"/>
        <v>900</v>
      </c>
      <c r="N130" s="109">
        <f>SUM(M130)</f>
        <v>900</v>
      </c>
      <c r="O130" s="126"/>
      <c r="P130" s="141"/>
      <c r="Q130" s="150"/>
      <c r="R130" s="101"/>
      <c r="S130" s="101"/>
      <c r="T130" s="101"/>
      <c r="U130" s="151"/>
      <c r="V130" s="145"/>
      <c r="W130" s="102"/>
      <c r="X130" s="102"/>
      <c r="Y130" s="101"/>
      <c r="Z130" s="98"/>
      <c r="AA130" s="327"/>
      <c r="AB130" s="330"/>
      <c r="AC130" s="131"/>
    </row>
    <row r="131" spans="2:29" ht="15.75" thickBot="1" x14ac:dyDescent="0.3">
      <c r="B131" s="317"/>
      <c r="C131" s="318"/>
      <c r="D131" s="284"/>
      <c r="E131" s="271"/>
      <c r="F131" s="192" t="str">
        <f>F25</f>
        <v>Remo con mancuerna</v>
      </c>
      <c r="G131" s="178">
        <v>3</v>
      </c>
      <c r="H131" s="179" t="s">
        <v>12</v>
      </c>
      <c r="I131" s="180">
        <v>6</v>
      </c>
      <c r="J131" s="181">
        <v>2</v>
      </c>
      <c r="K131" s="182"/>
      <c r="L131" s="183"/>
      <c r="M131" s="116"/>
      <c r="N131" s="109"/>
      <c r="O131" s="126"/>
      <c r="P131" s="141"/>
      <c r="Q131" s="150"/>
      <c r="R131" s="101"/>
      <c r="S131" s="101"/>
      <c r="T131" s="101"/>
      <c r="U131" s="151"/>
      <c r="V131" s="145"/>
      <c r="W131" s="102"/>
      <c r="X131" s="102"/>
      <c r="Y131" s="93"/>
      <c r="Z131" s="98"/>
      <c r="AA131" s="327"/>
      <c r="AB131" s="330"/>
      <c r="AC131" s="131"/>
    </row>
    <row r="132" spans="2:29" x14ac:dyDescent="0.25">
      <c r="B132" s="317"/>
      <c r="C132" s="318"/>
      <c r="D132" s="295" t="s">
        <v>129</v>
      </c>
      <c r="E132" s="273" t="s">
        <v>105</v>
      </c>
      <c r="F132" s="204" t="str">
        <f>F16</f>
        <v>Sentadilla</v>
      </c>
      <c r="G132" s="172">
        <v>3</v>
      </c>
      <c r="H132" s="173" t="s">
        <v>12</v>
      </c>
      <c r="I132" s="174">
        <v>2</v>
      </c>
      <c r="J132" s="175">
        <v>1</v>
      </c>
      <c r="K132" s="202">
        <f>LOOKUP($I132+$J132,'Calculadora RM'!$B$31:$B$50,'Calculadora RM'!$C$31:$C$50)</f>
        <v>0.88500000000000001</v>
      </c>
      <c r="L132" s="177">
        <f>MROUND(PRODUCT($Q$3,K132),'Calculadora RM'!B13)</f>
        <v>158</v>
      </c>
      <c r="M132" s="105">
        <f t="shared" si="2"/>
        <v>948</v>
      </c>
      <c r="N132" s="119"/>
      <c r="O132" s="127"/>
      <c r="P132" s="140"/>
      <c r="Q132" s="148"/>
      <c r="R132" s="92"/>
      <c r="S132" s="92"/>
      <c r="T132" s="92"/>
      <c r="U132" s="149"/>
      <c r="V132" s="144"/>
      <c r="W132" s="92"/>
      <c r="X132" s="92"/>
      <c r="Y132" s="101"/>
      <c r="Z132" s="97"/>
      <c r="AA132" s="326"/>
      <c r="AB132" s="329"/>
      <c r="AC132" s="130"/>
    </row>
    <row r="133" spans="2:29" x14ac:dyDescent="0.25">
      <c r="B133" s="317"/>
      <c r="C133" s="318"/>
      <c r="D133" s="296"/>
      <c r="E133" s="274"/>
      <c r="F133" s="192" t="str">
        <f>F22</f>
        <v>Dominadas</v>
      </c>
      <c r="G133" s="178">
        <v>3</v>
      </c>
      <c r="H133" s="179" t="s">
        <v>12</v>
      </c>
      <c r="I133" s="180">
        <v>4</v>
      </c>
      <c r="J133" s="181">
        <v>1</v>
      </c>
      <c r="K133" s="182">
        <f>LOOKUP($I133+$J133,'Calculadora RM'!$B$31:$B$50,'Calculadora RM'!$F$31:$F$50)</f>
        <v>0.87</v>
      </c>
      <c r="L133" s="183">
        <f>MROUND(PRODUCT($Q$7,K133)-'Calculadora RM'!$B$16,'Calculadora RM'!B13)</f>
        <v>23</v>
      </c>
      <c r="M133" s="108">
        <f>PRODUCT(G133,I133,L133+'Calculadora RM'!$B$16)</f>
        <v>1356</v>
      </c>
      <c r="N133" s="120">
        <f>SUM(M133)</f>
        <v>1356</v>
      </c>
      <c r="O133" s="126"/>
      <c r="P133" s="141"/>
      <c r="Q133" s="150"/>
      <c r="R133" s="101"/>
      <c r="S133" s="101"/>
      <c r="T133" s="101"/>
      <c r="U133" s="151"/>
      <c r="V133" s="145"/>
      <c r="W133" s="102"/>
      <c r="X133" s="102"/>
      <c r="Y133" s="101"/>
      <c r="Z133" s="98"/>
      <c r="AA133" s="327"/>
      <c r="AB133" s="330"/>
      <c r="AC133" s="131"/>
    </row>
    <row r="134" spans="2:29" ht="15.75" thickBot="1" x14ac:dyDescent="0.3">
      <c r="B134" s="317"/>
      <c r="C134" s="318"/>
      <c r="D134" s="296"/>
      <c r="E134" s="274"/>
      <c r="F134" s="192" t="str">
        <f>F19</f>
        <v>Hip thrust</v>
      </c>
      <c r="G134" s="178">
        <v>2</v>
      </c>
      <c r="H134" s="179" t="s">
        <v>12</v>
      </c>
      <c r="I134" s="180">
        <v>6</v>
      </c>
      <c r="J134" s="181">
        <v>1</v>
      </c>
      <c r="K134" s="182">
        <f>LOOKUP($I134+$J134,'Calculadora RM'!$B$31:$B$50,'Calculadora RM'!$F$31:$F$50)</f>
        <v>0.83</v>
      </c>
      <c r="L134" s="183">
        <f>MROUND(PRODUCT($Q$9,K134),'Calculadora RM'!B13)</f>
        <v>233</v>
      </c>
      <c r="M134" s="111">
        <f>PRODUCT(G134,I134,L134)</f>
        <v>2796</v>
      </c>
      <c r="N134" s="120"/>
      <c r="O134" s="126"/>
      <c r="P134" s="141"/>
      <c r="Q134" s="150"/>
      <c r="R134" s="101"/>
      <c r="S134" s="101"/>
      <c r="T134" s="101"/>
      <c r="U134" s="151"/>
      <c r="V134" s="145"/>
      <c r="W134" s="102"/>
      <c r="X134" s="102"/>
      <c r="Y134" s="93"/>
      <c r="Z134" s="98"/>
      <c r="AA134" s="327"/>
      <c r="AB134" s="330"/>
      <c r="AC134" s="131"/>
    </row>
    <row r="135" spans="2:29" x14ac:dyDescent="0.25">
      <c r="B135" s="317"/>
      <c r="C135" s="318"/>
      <c r="D135" s="296"/>
      <c r="E135" s="268" t="s">
        <v>106</v>
      </c>
      <c r="F135" s="204" t="str">
        <f>F20</f>
        <v>Peso muerto</v>
      </c>
      <c r="G135" s="172">
        <v>2</v>
      </c>
      <c r="H135" s="173" t="s">
        <v>12</v>
      </c>
      <c r="I135" s="174">
        <v>3</v>
      </c>
      <c r="J135" s="175">
        <v>1</v>
      </c>
      <c r="K135" s="202">
        <f>LOOKUP($I135+$J135,'Calculadora RM'!$B$31:$B$50,'Calculadora RM'!$E$31:$E$50)</f>
        <v>0.872</v>
      </c>
      <c r="L135" s="177">
        <f>MROUND(PRODUCT($Q$4,K135),'Calculadora RM'!B13)</f>
        <v>177</v>
      </c>
      <c r="M135" s="114">
        <f t="shared" si="2"/>
        <v>1062</v>
      </c>
      <c r="N135" s="120">
        <f>SUM(M135)</f>
        <v>1062</v>
      </c>
      <c r="O135" s="127"/>
      <c r="P135" s="140"/>
      <c r="Q135" s="148"/>
      <c r="R135" s="92"/>
      <c r="S135" s="92"/>
      <c r="T135" s="92"/>
      <c r="U135" s="149"/>
      <c r="V135" s="144"/>
      <c r="W135" s="92"/>
      <c r="X135" s="92"/>
      <c r="Y135" s="101"/>
      <c r="Z135" s="97"/>
      <c r="AA135" s="326"/>
      <c r="AB135" s="329"/>
      <c r="AC135" s="130"/>
    </row>
    <row r="136" spans="2:29" x14ac:dyDescent="0.25">
      <c r="B136" s="317"/>
      <c r="C136" s="318"/>
      <c r="D136" s="296"/>
      <c r="E136" s="269"/>
      <c r="F136" s="192" t="str">
        <f>F17</f>
        <v>Press banca</v>
      </c>
      <c r="G136" s="178">
        <v>3</v>
      </c>
      <c r="H136" s="179" t="s">
        <v>12</v>
      </c>
      <c r="I136" s="180">
        <v>3</v>
      </c>
      <c r="J136" s="181">
        <v>1</v>
      </c>
      <c r="K136" s="182">
        <f>LOOKUP($I136+$J136,'Calculadora RM'!$B$31:$B$50,'Calculadora RM'!$D$31:$D$50)</f>
        <v>0.89700000000000002</v>
      </c>
      <c r="L136" s="183">
        <f>MROUND(PRODUCT($Q$5,K136),'Calculadora RM'!B13)</f>
        <v>119</v>
      </c>
      <c r="M136" s="114">
        <f t="shared" si="2"/>
        <v>1071</v>
      </c>
      <c r="N136" s="120">
        <f>SUM(M136)</f>
        <v>1071</v>
      </c>
      <c r="O136" s="126"/>
      <c r="P136" s="141"/>
      <c r="Q136" s="150"/>
      <c r="R136" s="101"/>
      <c r="S136" s="101"/>
      <c r="T136" s="101"/>
      <c r="U136" s="151"/>
      <c r="V136" s="145"/>
      <c r="W136" s="102"/>
      <c r="X136" s="102"/>
      <c r="Y136" s="101"/>
      <c r="Z136" s="98"/>
      <c r="AA136" s="327"/>
      <c r="AB136" s="330"/>
      <c r="AC136" s="131"/>
    </row>
    <row r="137" spans="2:29" ht="15.75" thickBot="1" x14ac:dyDescent="0.3">
      <c r="B137" s="317"/>
      <c r="C137" s="318"/>
      <c r="D137" s="296"/>
      <c r="E137" s="269"/>
      <c r="F137" s="192" t="str">
        <f>F18</f>
        <v>Remo</v>
      </c>
      <c r="G137" s="178">
        <v>3</v>
      </c>
      <c r="H137" s="179" t="s">
        <v>12</v>
      </c>
      <c r="I137" s="180">
        <v>5</v>
      </c>
      <c r="J137" s="181">
        <v>1</v>
      </c>
      <c r="K137" s="182">
        <f>LOOKUP($I137+$J137,'Calculadora RM'!$B$31:$B$50,'Calculadora RM'!$F$31:$F$50)</f>
        <v>0.85</v>
      </c>
      <c r="L137" s="183">
        <f>MROUND(PRODUCT($Q$6,K137),'Calculadora RM'!B13)</f>
        <v>89</v>
      </c>
      <c r="M137" s="115">
        <f t="shared" si="2"/>
        <v>1335</v>
      </c>
      <c r="N137" s="120">
        <f>SUM(M137)</f>
        <v>1335</v>
      </c>
      <c r="O137" s="126"/>
      <c r="P137" s="141"/>
      <c r="Q137" s="150"/>
      <c r="R137" s="101"/>
      <c r="S137" s="101"/>
      <c r="T137" s="101"/>
      <c r="U137" s="151"/>
      <c r="V137" s="145"/>
      <c r="W137" s="102"/>
      <c r="X137" s="102"/>
      <c r="Y137" s="93"/>
      <c r="Z137" s="98"/>
      <c r="AA137" s="327"/>
      <c r="AB137" s="330"/>
      <c r="AC137" s="131"/>
    </row>
    <row r="138" spans="2:29" ht="14.25" customHeight="1" x14ac:dyDescent="0.25">
      <c r="B138" s="317"/>
      <c r="C138" s="318"/>
      <c r="D138" s="296"/>
      <c r="E138" s="270" t="s">
        <v>107</v>
      </c>
      <c r="F138" s="204" t="str">
        <f>F16</f>
        <v>Sentadilla</v>
      </c>
      <c r="G138" s="172">
        <v>3</v>
      </c>
      <c r="H138" s="173" t="s">
        <v>12</v>
      </c>
      <c r="I138" s="174">
        <v>3</v>
      </c>
      <c r="J138" s="175">
        <v>1</v>
      </c>
      <c r="K138" s="202">
        <f>LOOKUP($I138+$J138,'Calculadora RM'!$B$31:$B$50,'Calculadora RM'!$C$31:$C$50)</f>
        <v>0.86399999999999999</v>
      </c>
      <c r="L138" s="177">
        <f>MROUND(PRODUCT($Q$3,K138),'Calculadora RM'!B13)</f>
        <v>154</v>
      </c>
      <c r="M138" s="116">
        <f t="shared" si="2"/>
        <v>1386</v>
      </c>
      <c r="N138" s="120">
        <f>SUM(M132,M138)</f>
        <v>2334</v>
      </c>
      <c r="O138" s="127"/>
      <c r="P138" s="140"/>
      <c r="Q138" s="148"/>
      <c r="R138" s="92"/>
      <c r="S138" s="92"/>
      <c r="T138" s="92"/>
      <c r="U138" s="149"/>
      <c r="V138" s="144"/>
      <c r="W138" s="92"/>
      <c r="X138" s="92"/>
      <c r="Y138" s="101"/>
      <c r="Z138" s="97"/>
      <c r="AA138" s="326"/>
      <c r="AB138" s="329"/>
      <c r="AC138" s="130"/>
    </row>
    <row r="139" spans="2:29" x14ac:dyDescent="0.25">
      <c r="B139" s="317"/>
      <c r="C139" s="318"/>
      <c r="D139" s="296"/>
      <c r="E139" s="271"/>
      <c r="F139" s="192" t="str">
        <f>F19</f>
        <v>Hip thrust</v>
      </c>
      <c r="G139" s="178">
        <v>2</v>
      </c>
      <c r="H139" s="179" t="s">
        <v>12</v>
      </c>
      <c r="I139" s="180">
        <v>4</v>
      </c>
      <c r="J139" s="181">
        <v>1</v>
      </c>
      <c r="K139" s="182">
        <f>LOOKUP($I139+$J139,'Calculadora RM'!$B$31:$B$50,'Calculadora RM'!$F$31:$F$50)</f>
        <v>0.87</v>
      </c>
      <c r="L139" s="183">
        <f>MROUND(PRODUCT($Q$9,K139),'Calculadora RM'!B13)</f>
        <v>244</v>
      </c>
      <c r="M139" s="116">
        <f>PRODUCT(G139,I139,L139)</f>
        <v>1952</v>
      </c>
      <c r="N139" s="120">
        <f>SUM(M139,M134)</f>
        <v>4748</v>
      </c>
      <c r="O139" s="126"/>
      <c r="P139" s="141"/>
      <c r="Q139" s="150"/>
      <c r="R139" s="101"/>
      <c r="S139" s="101"/>
      <c r="T139" s="101"/>
      <c r="U139" s="151"/>
      <c r="V139" s="145"/>
      <c r="W139" s="102"/>
      <c r="X139" s="102"/>
      <c r="Y139" s="101"/>
      <c r="Z139" s="98"/>
      <c r="AA139" s="327"/>
      <c r="AB139" s="330"/>
      <c r="AC139" s="131"/>
    </row>
    <row r="140" spans="2:29" x14ac:dyDescent="0.25">
      <c r="B140" s="317"/>
      <c r="C140" s="318"/>
      <c r="D140" s="296"/>
      <c r="E140" s="271"/>
      <c r="F140" s="192" t="str">
        <f>F21</f>
        <v>Press militar</v>
      </c>
      <c r="G140" s="178">
        <v>3</v>
      </c>
      <c r="H140" s="179" t="s">
        <v>12</v>
      </c>
      <c r="I140" s="180">
        <v>5</v>
      </c>
      <c r="J140" s="181">
        <v>1</v>
      </c>
      <c r="K140" s="182">
        <f>LOOKUP($I140+$J140,'Calculadora RM'!$B$31:$B$50,'Calculadora RM'!$F$31:$F$50)</f>
        <v>0.85</v>
      </c>
      <c r="L140" s="183">
        <f>MROUND(PRODUCT($Q$8,K140),'Calculadora RM'!B13)</f>
        <v>60</v>
      </c>
      <c r="M140" s="116">
        <f t="shared" si="2"/>
        <v>900</v>
      </c>
      <c r="N140" s="120">
        <f>SUM(M140)</f>
        <v>900</v>
      </c>
      <c r="O140" s="126"/>
      <c r="P140" s="141"/>
      <c r="Q140" s="150"/>
      <c r="R140" s="101"/>
      <c r="S140" s="101"/>
      <c r="T140" s="101"/>
      <c r="U140" s="151"/>
      <c r="V140" s="145"/>
      <c r="W140" s="102"/>
      <c r="X140" s="102"/>
      <c r="Y140" s="101"/>
      <c r="Z140" s="98"/>
      <c r="AA140" s="327"/>
      <c r="AB140" s="330"/>
      <c r="AC140" s="131"/>
    </row>
    <row r="141" spans="2:29" ht="15.75" thickBot="1" x14ac:dyDescent="0.3">
      <c r="B141" s="317"/>
      <c r="C141" s="318"/>
      <c r="D141" s="296"/>
      <c r="E141" s="271"/>
      <c r="F141" s="192" t="str">
        <f>F25</f>
        <v>Remo con mancuerna</v>
      </c>
      <c r="G141" s="178">
        <v>3</v>
      </c>
      <c r="H141" s="179" t="s">
        <v>12</v>
      </c>
      <c r="I141" s="180">
        <v>6</v>
      </c>
      <c r="J141" s="181">
        <v>2</v>
      </c>
      <c r="K141" s="182"/>
      <c r="L141" s="183"/>
      <c r="M141" s="116"/>
      <c r="N141" s="120"/>
      <c r="O141" s="126"/>
      <c r="P141" s="141"/>
      <c r="Q141" s="150"/>
      <c r="R141" s="101"/>
      <c r="S141" s="101"/>
      <c r="T141" s="101"/>
      <c r="U141" s="151"/>
      <c r="V141" s="145"/>
      <c r="W141" s="102"/>
      <c r="X141" s="102"/>
      <c r="Y141" s="101"/>
      <c r="Z141" s="98"/>
      <c r="AA141" s="327"/>
      <c r="AB141" s="330"/>
      <c r="AC141" s="131"/>
    </row>
    <row r="142" spans="2:29" x14ac:dyDescent="0.25">
      <c r="B142" s="317"/>
      <c r="C142" s="318"/>
      <c r="D142" s="283" t="s">
        <v>130</v>
      </c>
      <c r="E142" s="273" t="s">
        <v>105</v>
      </c>
      <c r="F142" s="204" t="str">
        <f>F16</f>
        <v>Sentadilla</v>
      </c>
      <c r="G142" s="172">
        <v>3</v>
      </c>
      <c r="H142" s="173" t="s">
        <v>12</v>
      </c>
      <c r="I142" s="174">
        <v>2</v>
      </c>
      <c r="J142" s="175">
        <v>1</v>
      </c>
      <c r="K142" s="202">
        <f>LOOKUP($I142+$J142,'Calculadora RM'!$B$31:$B$50,'Calculadora RM'!$C$31:$C$50)</f>
        <v>0.88500000000000001</v>
      </c>
      <c r="L142" s="177">
        <f>MROUND(PRODUCT($Q$3,K142),'Calculadora RM'!B13)</f>
        <v>158</v>
      </c>
      <c r="M142" s="105">
        <f t="shared" si="2"/>
        <v>948</v>
      </c>
      <c r="N142" s="106">
        <f>SUM(M142)</f>
        <v>948</v>
      </c>
      <c r="O142" s="127"/>
      <c r="P142" s="140"/>
      <c r="Q142" s="148"/>
      <c r="R142" s="92"/>
      <c r="S142" s="92"/>
      <c r="T142" s="92"/>
      <c r="U142" s="149"/>
      <c r="V142" s="144"/>
      <c r="W142" s="92"/>
      <c r="X142" s="92"/>
      <c r="Y142" s="91"/>
      <c r="Z142" s="97"/>
      <c r="AA142" s="326"/>
      <c r="AB142" s="329"/>
      <c r="AC142" s="130"/>
    </row>
    <row r="143" spans="2:29" ht="15.75" thickBot="1" x14ac:dyDescent="0.3">
      <c r="B143" s="317"/>
      <c r="C143" s="318"/>
      <c r="D143" s="284"/>
      <c r="E143" s="274"/>
      <c r="F143" s="192" t="str">
        <f>F19</f>
        <v>Hip thrust</v>
      </c>
      <c r="G143" s="178">
        <v>2</v>
      </c>
      <c r="H143" s="179" t="s">
        <v>12</v>
      </c>
      <c r="I143" s="193">
        <v>3</v>
      </c>
      <c r="J143" s="181">
        <v>1</v>
      </c>
      <c r="K143" s="182">
        <f>LOOKUP($I143+$J143,'Calculadora RM'!$B$31:$B$50,'Calculadora RM'!$F$31:$F$50)</f>
        <v>0.9</v>
      </c>
      <c r="L143" s="183">
        <f>MROUND(PRODUCT($Q$9,K143),'Calculadora RM'!B13)</f>
        <v>253</v>
      </c>
      <c r="M143" s="111">
        <f>PRODUCT(G143,I143,L143)</f>
        <v>1518</v>
      </c>
      <c r="N143" s="109">
        <f>SUM(M143)</f>
        <v>1518</v>
      </c>
      <c r="O143" s="129">
        <f>SUM(N143,N139,N129)</f>
        <v>10878</v>
      </c>
      <c r="P143" s="141"/>
      <c r="Q143" s="150"/>
      <c r="R143" s="101"/>
      <c r="S143" s="101"/>
      <c r="T143" s="101"/>
      <c r="U143" s="151"/>
      <c r="V143" s="145"/>
      <c r="W143" s="102"/>
      <c r="X143" s="102"/>
      <c r="Y143" s="101"/>
      <c r="Z143" s="98"/>
      <c r="AA143" s="327"/>
      <c r="AB143" s="330"/>
      <c r="AC143" s="131"/>
    </row>
    <row r="144" spans="2:29" x14ac:dyDescent="0.25">
      <c r="B144" s="317"/>
      <c r="C144" s="318"/>
      <c r="D144" s="284"/>
      <c r="E144" s="268" t="s">
        <v>106</v>
      </c>
      <c r="F144" s="204" t="str">
        <f>F17</f>
        <v>Press banca</v>
      </c>
      <c r="G144" s="172">
        <v>3</v>
      </c>
      <c r="H144" s="173" t="s">
        <v>12</v>
      </c>
      <c r="I144" s="174">
        <v>2</v>
      </c>
      <c r="J144" s="175">
        <v>1</v>
      </c>
      <c r="K144" s="202">
        <f>LOOKUP($I144+$J144,'Calculadora RM'!$B$31:$B$50,'Calculadora RM'!$D$31:$D$50)</f>
        <v>0.92600000000000005</v>
      </c>
      <c r="L144" s="177">
        <f>MROUND(PRODUCT($Q$5,K144),'Calculadora RM'!B13)</f>
        <v>123</v>
      </c>
      <c r="M144" s="114">
        <f t="shared" si="2"/>
        <v>738</v>
      </c>
      <c r="N144" s="109">
        <f>SUM(M144)</f>
        <v>738</v>
      </c>
      <c r="O144" s="127"/>
      <c r="P144" s="140"/>
      <c r="Q144" s="148"/>
      <c r="R144" s="92"/>
      <c r="S144" s="92"/>
      <c r="T144" s="92"/>
      <c r="U144" s="149"/>
      <c r="V144" s="144"/>
      <c r="W144" s="92"/>
      <c r="X144" s="92"/>
      <c r="Y144" s="91"/>
      <c r="Z144" s="97"/>
      <c r="AA144" s="326"/>
      <c r="AB144" s="329"/>
      <c r="AC144" s="130"/>
    </row>
    <row r="145" spans="2:29" ht="15.75" thickBot="1" x14ac:dyDescent="0.3">
      <c r="B145" s="317"/>
      <c r="C145" s="318"/>
      <c r="D145" s="284"/>
      <c r="E145" s="269"/>
      <c r="F145" s="192" t="str">
        <f>F18</f>
        <v>Remo</v>
      </c>
      <c r="G145" s="178">
        <v>3</v>
      </c>
      <c r="H145" s="179" t="s">
        <v>12</v>
      </c>
      <c r="I145" s="180">
        <v>4</v>
      </c>
      <c r="J145" s="181">
        <v>1</v>
      </c>
      <c r="K145" s="182">
        <f>LOOKUP($I145+$J145,'Calculadora RM'!$B$31:$B$50,'Calculadora RM'!$F$31:$F$50)</f>
        <v>0.87</v>
      </c>
      <c r="L145" s="183">
        <f>MROUND(PRODUCT($Q$6,K145),'Calculadora RM'!B13)</f>
        <v>91</v>
      </c>
      <c r="M145" s="115">
        <f t="shared" si="2"/>
        <v>1092</v>
      </c>
      <c r="N145" s="109">
        <f>SUM(M145)</f>
        <v>1092</v>
      </c>
      <c r="O145" s="126"/>
      <c r="P145" s="141"/>
      <c r="Q145" s="150"/>
      <c r="R145" s="101"/>
      <c r="S145" s="101"/>
      <c r="T145" s="101"/>
      <c r="U145" s="151"/>
      <c r="V145" s="145"/>
      <c r="W145" s="102"/>
      <c r="X145" s="102"/>
      <c r="Y145" s="101"/>
      <c r="Z145" s="98"/>
      <c r="AA145" s="327"/>
      <c r="AB145" s="330"/>
      <c r="AC145" s="131"/>
    </row>
    <row r="146" spans="2:29" x14ac:dyDescent="0.25">
      <c r="B146" s="317"/>
      <c r="C146" s="318"/>
      <c r="D146" s="284"/>
      <c r="E146" s="270" t="s">
        <v>107</v>
      </c>
      <c r="F146" s="204" t="str">
        <f>F20</f>
        <v>Peso muerto</v>
      </c>
      <c r="G146" s="172">
        <v>2</v>
      </c>
      <c r="H146" s="173" t="s">
        <v>12</v>
      </c>
      <c r="I146" s="174">
        <v>2</v>
      </c>
      <c r="J146" s="175">
        <v>1</v>
      </c>
      <c r="K146" s="202">
        <f>LOOKUP($I146+$J146,'Calculadora RM'!$B$31:$B$50,'Calculadora RM'!$E$31:$E$50)</f>
        <v>0.88500000000000001</v>
      </c>
      <c r="L146" s="177">
        <f>MROUND(PRODUCT($Q$4,K146),'Calculadora RM'!B13)</f>
        <v>180</v>
      </c>
      <c r="M146" s="116">
        <f t="shared" ref="M146:M153" si="3">PRODUCT(G146,I146,L146)</f>
        <v>720</v>
      </c>
      <c r="N146" s="109">
        <f>SUM(M146)</f>
        <v>720</v>
      </c>
      <c r="O146" s="127"/>
      <c r="P146" s="140"/>
      <c r="Q146" s="148"/>
      <c r="R146" s="92"/>
      <c r="S146" s="92"/>
      <c r="T146" s="92"/>
      <c r="U146" s="149"/>
      <c r="V146" s="144"/>
      <c r="W146" s="92"/>
      <c r="X146" s="92"/>
      <c r="Y146" s="91"/>
      <c r="Z146" s="97"/>
      <c r="AA146" s="326"/>
      <c r="AB146" s="329"/>
      <c r="AC146" s="130"/>
    </row>
    <row r="147" spans="2:29" x14ac:dyDescent="0.25">
      <c r="B147" s="317"/>
      <c r="C147" s="318"/>
      <c r="D147" s="284"/>
      <c r="E147" s="271"/>
      <c r="F147" s="192" t="str">
        <f>F21</f>
        <v>Press militar</v>
      </c>
      <c r="G147" s="178">
        <v>3</v>
      </c>
      <c r="H147" s="179" t="s">
        <v>12</v>
      </c>
      <c r="I147" s="180">
        <v>4</v>
      </c>
      <c r="J147" s="181">
        <v>1</v>
      </c>
      <c r="K147" s="182">
        <f>LOOKUP($I147+$J147,'Calculadora RM'!$B$31:$B$50,'Calculadora RM'!$F$31:$F$50)</f>
        <v>0.87</v>
      </c>
      <c r="L147" s="183">
        <f>MROUND(PRODUCT($Q$8,K147),'Calculadora RM'!B13)</f>
        <v>61</v>
      </c>
      <c r="M147" s="116">
        <f t="shared" si="3"/>
        <v>732</v>
      </c>
      <c r="N147" s="109">
        <f>SUM(M147)</f>
        <v>732</v>
      </c>
      <c r="O147" s="126"/>
      <c r="P147" s="141"/>
      <c r="Q147" s="150"/>
      <c r="R147" s="101"/>
      <c r="S147" s="101"/>
      <c r="T147" s="101"/>
      <c r="U147" s="151"/>
      <c r="V147" s="145"/>
      <c r="W147" s="102"/>
      <c r="X147" s="102"/>
      <c r="Y147" s="101"/>
      <c r="Z147" s="98"/>
      <c r="AA147" s="327"/>
      <c r="AB147" s="330"/>
      <c r="AC147" s="131"/>
    </row>
    <row r="148" spans="2:29" ht="15.75" thickBot="1" x14ac:dyDescent="0.3">
      <c r="B148" s="317"/>
      <c r="C148" s="318"/>
      <c r="D148" s="284"/>
      <c r="E148" s="271"/>
      <c r="F148" s="192" t="str">
        <f>F22</f>
        <v>Dominadas</v>
      </c>
      <c r="G148" s="179">
        <v>3</v>
      </c>
      <c r="H148" s="179" t="s">
        <v>12</v>
      </c>
      <c r="I148" s="180">
        <v>3</v>
      </c>
      <c r="J148" s="181">
        <v>1</v>
      </c>
      <c r="K148" s="182">
        <f>LOOKUP($I148+$J148,'Calculadora RM'!$B$31:$B$50,'Calculadora RM'!$F$31:$F$50)</f>
        <v>0.9</v>
      </c>
      <c r="L148" s="183">
        <f>MROUND(PRODUCT($Q$7,K148)-'Calculadora RM'!$B$16,'Calculadora RM'!B13)</f>
        <v>27</v>
      </c>
      <c r="M148" s="117">
        <f>PRODUCT(G148,I148,L148+'Calculadora RM'!$B$16)</f>
        <v>1053</v>
      </c>
      <c r="N148" s="109">
        <f>SUM(M148)</f>
        <v>1053</v>
      </c>
      <c r="O148" s="126"/>
      <c r="P148" s="141"/>
      <c r="Q148" s="150"/>
      <c r="R148" s="101"/>
      <c r="S148" s="101"/>
      <c r="T148" s="101"/>
      <c r="U148" s="151"/>
      <c r="V148" s="145"/>
      <c r="W148" s="102"/>
      <c r="X148" s="102"/>
      <c r="Y148" s="93"/>
      <c r="Z148" s="98"/>
      <c r="AA148" s="327"/>
      <c r="AB148" s="330"/>
      <c r="AC148" s="131"/>
    </row>
    <row r="149" spans="2:29" x14ac:dyDescent="0.25">
      <c r="B149" s="317"/>
      <c r="C149" s="318"/>
      <c r="D149" s="295" t="s">
        <v>131</v>
      </c>
      <c r="E149" s="273" t="s">
        <v>105</v>
      </c>
      <c r="F149" s="204" t="str">
        <f>F16</f>
        <v>Sentadilla</v>
      </c>
      <c r="G149" s="173">
        <v>3</v>
      </c>
      <c r="H149" s="173" t="s">
        <v>12</v>
      </c>
      <c r="I149" s="174">
        <v>1</v>
      </c>
      <c r="J149" s="175">
        <v>1</v>
      </c>
      <c r="K149" s="202">
        <f>LOOKUP($I149+$J149,'Calculadora RM'!$B$31:$B$50,'Calculadora RM'!$C$31:$C$50)</f>
        <v>0.95499999999999996</v>
      </c>
      <c r="L149" s="177">
        <f>MROUND(PRODUCT($Q$3,K149),'Calculadora RM'!B13)</f>
        <v>170</v>
      </c>
      <c r="M149" s="108">
        <f t="shared" si="3"/>
        <v>510</v>
      </c>
      <c r="N149" s="119">
        <f t="shared" ref="N149:N154" si="4">SUM(M149)</f>
        <v>510</v>
      </c>
      <c r="O149" s="129">
        <f>SUM(N128,N138,N142,N149)</f>
        <v>5810</v>
      </c>
      <c r="P149" s="140"/>
      <c r="Q149" s="148"/>
      <c r="R149" s="92"/>
      <c r="S149" s="92"/>
      <c r="T149" s="92"/>
      <c r="U149" s="149"/>
      <c r="V149" s="144"/>
      <c r="W149" s="92"/>
      <c r="X149" s="92"/>
      <c r="Y149" s="101"/>
      <c r="Z149" s="97"/>
      <c r="AA149" s="326"/>
      <c r="AB149" s="329"/>
      <c r="AC149" s="130"/>
    </row>
    <row r="150" spans="2:29" x14ac:dyDescent="0.25">
      <c r="B150" s="317"/>
      <c r="C150" s="318"/>
      <c r="D150" s="296"/>
      <c r="E150" s="274"/>
      <c r="F150" s="192" t="str">
        <f>F17</f>
        <v>Press banca</v>
      </c>
      <c r="G150" s="179">
        <v>3</v>
      </c>
      <c r="H150" s="179" t="s">
        <v>12</v>
      </c>
      <c r="I150" s="180">
        <v>1</v>
      </c>
      <c r="J150" s="181">
        <v>1</v>
      </c>
      <c r="K150" s="182">
        <f>LOOKUP($I150+$J150,'Calculadora RM'!$B$31:$B$50,'Calculadora RM'!$D$31:$D$50)</f>
        <v>0.96599999999999997</v>
      </c>
      <c r="L150" s="183">
        <f>MROUND(PRODUCT($Q$5,K150),'Calculadora RM'!B13)</f>
        <v>128</v>
      </c>
      <c r="M150" s="108">
        <f t="shared" si="3"/>
        <v>384</v>
      </c>
      <c r="N150" s="120">
        <f t="shared" si="4"/>
        <v>384</v>
      </c>
      <c r="O150" s="129">
        <f>SUM(N126,N136,N144,N150)</f>
        <v>3264</v>
      </c>
      <c r="P150" s="141"/>
      <c r="Q150" s="150"/>
      <c r="R150" s="101"/>
      <c r="S150" s="101"/>
      <c r="T150" s="101"/>
      <c r="U150" s="151"/>
      <c r="V150" s="145"/>
      <c r="W150" s="102"/>
      <c r="X150" s="102"/>
      <c r="Y150" s="101"/>
      <c r="Z150" s="98"/>
      <c r="AA150" s="327"/>
      <c r="AB150" s="330"/>
      <c r="AC150" s="131"/>
    </row>
    <row r="151" spans="2:29" ht="15.75" thickBot="1" x14ac:dyDescent="0.3">
      <c r="B151" s="317"/>
      <c r="C151" s="318"/>
      <c r="D151" s="296"/>
      <c r="E151" s="275"/>
      <c r="F151" s="194" t="str">
        <f>F18</f>
        <v>Remo</v>
      </c>
      <c r="G151" s="185">
        <v>3</v>
      </c>
      <c r="H151" s="185" t="s">
        <v>12</v>
      </c>
      <c r="I151" s="186">
        <v>3</v>
      </c>
      <c r="J151" s="187">
        <v>1</v>
      </c>
      <c r="K151" s="188">
        <f>LOOKUP($I151+$J151,'Calculadora RM'!$B$31:$B$50,'Calculadora RM'!$F$31:$F$50)</f>
        <v>0.9</v>
      </c>
      <c r="L151" s="189">
        <f>MROUND(PRODUCT($Q$6,K151),'Calculadora RM'!B13)</f>
        <v>95</v>
      </c>
      <c r="M151" s="111">
        <f t="shared" si="3"/>
        <v>855</v>
      </c>
      <c r="N151" s="120">
        <f t="shared" si="4"/>
        <v>855</v>
      </c>
      <c r="O151" s="128">
        <f>SUM(N151,N145,N137,N127)</f>
        <v>4617</v>
      </c>
      <c r="P151" s="142"/>
      <c r="Q151" s="152"/>
      <c r="R151" s="94"/>
      <c r="S151" s="94"/>
      <c r="T151" s="94"/>
      <c r="U151" s="153"/>
      <c r="V151" s="146"/>
      <c r="W151" s="94"/>
      <c r="X151" s="94"/>
      <c r="Y151" s="93"/>
      <c r="Z151" s="99"/>
      <c r="AA151" s="328"/>
      <c r="AB151" s="331"/>
      <c r="AC151" s="132"/>
    </row>
    <row r="152" spans="2:29" x14ac:dyDescent="0.25">
      <c r="B152" s="317"/>
      <c r="C152" s="318"/>
      <c r="D152" s="296"/>
      <c r="E152" s="270" t="s">
        <v>106</v>
      </c>
      <c r="F152" s="201" t="str">
        <f>F20</f>
        <v>Peso muerto</v>
      </c>
      <c r="G152" s="195">
        <v>2</v>
      </c>
      <c r="H152" s="196" t="s">
        <v>12</v>
      </c>
      <c r="I152" s="197">
        <v>1</v>
      </c>
      <c r="J152" s="198">
        <v>1</v>
      </c>
      <c r="K152" s="199">
        <f>LOOKUP($I152+$J152,'Calculadora RM'!$B$31:$B$50,'Calculadora RM'!$E$31:$E$50)</f>
        <v>0.93899999999999995</v>
      </c>
      <c r="L152" s="200">
        <f>MROUND(PRODUCT($Q$4,K152),'Calculadora RM'!B13)</f>
        <v>191</v>
      </c>
      <c r="M152" s="116">
        <f t="shared" si="3"/>
        <v>382</v>
      </c>
      <c r="N152" s="120">
        <f t="shared" si="4"/>
        <v>382</v>
      </c>
      <c r="O152" s="129">
        <f>SUM(N152,N146,N135,N125)</f>
        <v>3208</v>
      </c>
      <c r="P152" s="143"/>
      <c r="Q152" s="154"/>
      <c r="R152" s="96"/>
      <c r="S152" s="96"/>
      <c r="T152" s="96"/>
      <c r="U152" s="155"/>
      <c r="V152" s="147"/>
      <c r="W152" s="96"/>
      <c r="X152" s="96"/>
      <c r="Y152" s="101"/>
      <c r="Z152" s="100"/>
      <c r="AA152" s="326"/>
      <c r="AB152" s="329"/>
      <c r="AC152" s="130"/>
    </row>
    <row r="153" spans="2:29" x14ac:dyDescent="0.25">
      <c r="B153" s="317"/>
      <c r="C153" s="318"/>
      <c r="D153" s="296"/>
      <c r="E153" s="271"/>
      <c r="F153" s="192" t="str">
        <f>F21</f>
        <v>Press militar</v>
      </c>
      <c r="G153" s="179">
        <v>3</v>
      </c>
      <c r="H153" s="179" t="s">
        <v>12</v>
      </c>
      <c r="I153" s="180">
        <v>3</v>
      </c>
      <c r="J153" s="181">
        <v>1</v>
      </c>
      <c r="K153" s="182">
        <f>LOOKUP($I153+$J153,'Calculadora RM'!$B$31:$B$50,'Calculadora RM'!$F$31:$F$50)</f>
        <v>0.9</v>
      </c>
      <c r="L153" s="183">
        <f>MROUND(PRODUCT($Q$8,K153),'Calculadora RM'!B13)</f>
        <v>63</v>
      </c>
      <c r="M153" s="116">
        <f t="shared" si="3"/>
        <v>567</v>
      </c>
      <c r="N153" s="120">
        <f t="shared" si="4"/>
        <v>567</v>
      </c>
      <c r="O153" s="129">
        <f>SUM(N130,N140,N147,N153)</f>
        <v>3099</v>
      </c>
      <c r="P153" s="141"/>
      <c r="Q153" s="150"/>
      <c r="R153" s="101"/>
      <c r="S153" s="101"/>
      <c r="T153" s="101"/>
      <c r="U153" s="151"/>
      <c r="V153" s="145"/>
      <c r="W153" s="102"/>
      <c r="X153" s="102"/>
      <c r="Y153" s="101"/>
      <c r="Z153" s="98"/>
      <c r="AA153" s="327"/>
      <c r="AB153" s="330"/>
      <c r="AC153" s="131"/>
    </row>
    <row r="154" spans="2:29" ht="15.75" thickBot="1" x14ac:dyDescent="0.3">
      <c r="B154" s="319"/>
      <c r="C154" s="320"/>
      <c r="D154" s="297"/>
      <c r="E154" s="272"/>
      <c r="F154" s="194" t="str">
        <f>F22</f>
        <v>Dominadas</v>
      </c>
      <c r="G154" s="184">
        <v>3</v>
      </c>
      <c r="H154" s="185" t="s">
        <v>12</v>
      </c>
      <c r="I154" s="186">
        <v>2</v>
      </c>
      <c r="J154" s="187">
        <v>1</v>
      </c>
      <c r="K154" s="188">
        <f>LOOKUP($I154+$J154,'Calculadora RM'!$B$31:$B$50,'Calculadora RM'!$F$31:$F$50)</f>
        <v>0.93</v>
      </c>
      <c r="L154" s="189">
        <f>MROUND(PRODUCT($Q$7,K154)-'Calculadora RM'!$B$16,'Calculadora RM'!B13)</f>
        <v>31</v>
      </c>
      <c r="M154" s="117">
        <f>PRODUCT(G154,I154,L154+'Calculadora RM'!$B$16)</f>
        <v>726</v>
      </c>
      <c r="N154" s="121">
        <f t="shared" si="4"/>
        <v>726</v>
      </c>
      <c r="O154" s="129">
        <f>SUM(N123,N133,N148,N154)</f>
        <v>4491</v>
      </c>
      <c r="P154" s="142"/>
      <c r="Q154" s="152"/>
      <c r="R154" s="94"/>
      <c r="S154" s="94"/>
      <c r="T154" s="94"/>
      <c r="U154" s="153"/>
      <c r="V154" s="146"/>
      <c r="W154" s="94"/>
      <c r="X154" s="94"/>
      <c r="Y154" s="93"/>
      <c r="Z154" s="99"/>
      <c r="AA154" s="328"/>
      <c r="AB154" s="331"/>
      <c r="AC154" s="132"/>
    </row>
    <row r="155" spans="2:29" ht="15.75" thickBot="1" x14ac:dyDescent="0.3">
      <c r="J155" s="11"/>
      <c r="N155" s="13" t="s">
        <v>37</v>
      </c>
      <c r="O155" s="14">
        <f>SUM(O16:O154)</f>
        <v>229247</v>
      </c>
    </row>
    <row r="156" spans="2:29" ht="16.5" thickTop="1" thickBot="1" x14ac:dyDescent="0.3">
      <c r="J156" s="11"/>
      <c r="N156" s="1"/>
      <c r="O156" s="12"/>
    </row>
    <row r="157" spans="2:29" ht="15.75" thickBot="1" x14ac:dyDescent="0.3">
      <c r="J157" s="6" t="s">
        <v>40</v>
      </c>
    </row>
    <row r="158" spans="2:29" x14ac:dyDescent="0.25">
      <c r="B158" s="332" t="s">
        <v>117</v>
      </c>
      <c r="C158" s="333"/>
      <c r="D158" s="339" t="s">
        <v>110</v>
      </c>
      <c r="E158" s="342" t="s">
        <v>105</v>
      </c>
      <c r="F158" s="207" t="str">
        <f>F16</f>
        <v>Sentadilla</v>
      </c>
      <c r="G158" s="208">
        <v>2</v>
      </c>
      <c r="H158" s="208" t="s">
        <v>12</v>
      </c>
      <c r="I158" s="209">
        <v>1</v>
      </c>
      <c r="J158" s="210" t="s">
        <v>38</v>
      </c>
      <c r="K158" s="211">
        <v>0.8</v>
      </c>
      <c r="L158" s="212">
        <f>MROUND(PRODUCT($Q$3,K158),'Calculadora RM'!B13)</f>
        <v>142</v>
      </c>
    </row>
    <row r="159" spans="2:29" x14ac:dyDescent="0.25">
      <c r="B159" s="334"/>
      <c r="C159" s="335"/>
      <c r="D159" s="340"/>
      <c r="E159" s="343"/>
      <c r="F159" s="213" t="str">
        <f>F17</f>
        <v>Press banca</v>
      </c>
      <c r="G159" s="214">
        <v>2</v>
      </c>
      <c r="H159" s="214" t="s">
        <v>12</v>
      </c>
      <c r="I159" s="215">
        <v>1</v>
      </c>
      <c r="J159" s="216" t="s">
        <v>38</v>
      </c>
      <c r="K159" s="217">
        <v>0.8</v>
      </c>
      <c r="L159" s="218">
        <f>MROUND(PRODUCT($Q$5,K159),'Calculadora RM'!B13)</f>
        <v>106</v>
      </c>
    </row>
    <row r="160" spans="2:29" ht="15.75" thickBot="1" x14ac:dyDescent="0.3">
      <c r="B160" s="334"/>
      <c r="C160" s="335"/>
      <c r="D160" s="340"/>
      <c r="E160" s="344"/>
      <c r="F160" s="222" t="str">
        <f>F18</f>
        <v>Remo</v>
      </c>
      <c r="G160" s="224">
        <v>2</v>
      </c>
      <c r="H160" s="224" t="s">
        <v>12</v>
      </c>
      <c r="I160" s="233">
        <v>3</v>
      </c>
      <c r="J160" s="234" t="s">
        <v>38</v>
      </c>
      <c r="K160" s="227">
        <v>0.75</v>
      </c>
      <c r="L160" s="235">
        <f>MROUND(PRODUCT($Q$6,K160),'Calculadora RM'!B13)</f>
        <v>79</v>
      </c>
    </row>
    <row r="161" spans="2:29" x14ac:dyDescent="0.25">
      <c r="B161" s="334"/>
      <c r="C161" s="335"/>
      <c r="D161" s="340"/>
      <c r="E161" s="345" t="s">
        <v>106</v>
      </c>
      <c r="F161" s="207" t="str">
        <f>F20</f>
        <v>Peso muerto</v>
      </c>
      <c r="G161" s="239">
        <v>1</v>
      </c>
      <c r="H161" s="208" t="s">
        <v>12</v>
      </c>
      <c r="I161" s="209">
        <v>1</v>
      </c>
      <c r="J161" s="240" t="s">
        <v>39</v>
      </c>
      <c r="K161" s="211">
        <v>0.83</v>
      </c>
      <c r="L161" s="212">
        <f>MROUND(PRODUCT($Q$4,K161),'Calculadora RM'!B13)</f>
        <v>168</v>
      </c>
    </row>
    <row r="162" spans="2:29" x14ac:dyDescent="0.25">
      <c r="B162" s="334"/>
      <c r="C162" s="335"/>
      <c r="D162" s="340"/>
      <c r="E162" s="346"/>
      <c r="F162" s="213" t="str">
        <f>F21</f>
        <v>Press militar</v>
      </c>
      <c r="G162" s="214">
        <v>2</v>
      </c>
      <c r="H162" s="214" t="s">
        <v>12</v>
      </c>
      <c r="I162" s="215">
        <v>3</v>
      </c>
      <c r="J162" s="216" t="s">
        <v>38</v>
      </c>
      <c r="K162" s="217">
        <v>0.75</v>
      </c>
      <c r="L162" s="218">
        <f>MROUND(PRODUCT($Q$8,K162),'Calculadora RM'!B13)</f>
        <v>53</v>
      </c>
    </row>
    <row r="163" spans="2:29" ht="15.75" thickBot="1" x14ac:dyDescent="0.3">
      <c r="B163" s="334"/>
      <c r="C163" s="335"/>
      <c r="D163" s="340"/>
      <c r="E163" s="346"/>
      <c r="F163" s="222" t="str">
        <f>F22</f>
        <v>Dominadas</v>
      </c>
      <c r="G163" s="223">
        <v>2</v>
      </c>
      <c r="H163" s="224" t="s">
        <v>12</v>
      </c>
      <c r="I163" s="233">
        <v>3</v>
      </c>
      <c r="J163" s="234" t="s">
        <v>38</v>
      </c>
      <c r="K163" s="227">
        <v>0.75</v>
      </c>
      <c r="L163" s="235">
        <f>MROUND(PRODUCT($Q$7,K163)-'Calculadora RM'!$B$16,'Calculadora RM'!B13)</f>
        <v>8</v>
      </c>
    </row>
    <row r="164" spans="2:29" x14ac:dyDescent="0.25">
      <c r="B164" s="334"/>
      <c r="C164" s="335"/>
      <c r="D164" s="340"/>
      <c r="E164" s="259" t="s">
        <v>58</v>
      </c>
      <c r="F164" s="229" t="str">
        <f>F16</f>
        <v>Sentadilla</v>
      </c>
      <c r="G164" s="230">
        <v>1</v>
      </c>
      <c r="H164" s="231" t="s">
        <v>12</v>
      </c>
      <c r="I164" s="236">
        <v>1</v>
      </c>
      <c r="J164" s="237">
        <v>10</v>
      </c>
      <c r="K164" s="232">
        <v>1</v>
      </c>
      <c r="L164" s="238">
        <f>MROUND(PRODUCT($Q$3,K164),'Calculadora RM'!B13)</f>
        <v>178</v>
      </c>
      <c r="M164" s="133"/>
    </row>
    <row r="165" spans="2:29" x14ac:dyDescent="0.25">
      <c r="B165" s="334"/>
      <c r="C165" s="335"/>
      <c r="D165" s="340"/>
      <c r="E165" s="338"/>
      <c r="F165" s="213" t="str">
        <f>F17</f>
        <v>Press banca</v>
      </c>
      <c r="G165" s="219">
        <v>1</v>
      </c>
      <c r="H165" s="214" t="s">
        <v>12</v>
      </c>
      <c r="I165" s="220">
        <v>1</v>
      </c>
      <c r="J165" s="191">
        <v>10</v>
      </c>
      <c r="K165" s="217">
        <v>1</v>
      </c>
      <c r="L165" s="221">
        <f>MROUND(PRODUCT($Q$5,K165),'Calculadora RM'!B13)</f>
        <v>133</v>
      </c>
      <c r="M165" s="134"/>
    </row>
    <row r="166" spans="2:29" x14ac:dyDescent="0.25">
      <c r="B166" s="334"/>
      <c r="C166" s="335"/>
      <c r="D166" s="340"/>
      <c r="E166" s="338"/>
      <c r="F166" s="213" t="str">
        <f>F20</f>
        <v>Peso muerto</v>
      </c>
      <c r="G166" s="219">
        <v>1</v>
      </c>
      <c r="H166" s="214" t="s">
        <v>12</v>
      </c>
      <c r="I166" s="220">
        <v>1</v>
      </c>
      <c r="J166" s="191">
        <v>10</v>
      </c>
      <c r="K166" s="217">
        <v>1</v>
      </c>
      <c r="L166" s="221">
        <f>MROUND(PRODUCT($Q$4,K166),'Calculadora RM'!B13)</f>
        <v>203</v>
      </c>
      <c r="M166" s="134"/>
    </row>
    <row r="167" spans="2:29" ht="15.75" thickBot="1" x14ac:dyDescent="0.3">
      <c r="B167" s="336"/>
      <c r="C167" s="337"/>
      <c r="D167" s="341"/>
      <c r="E167" s="260"/>
      <c r="F167" s="222" t="str">
        <f>F22</f>
        <v>Dominadas</v>
      </c>
      <c r="G167" s="223">
        <v>1</v>
      </c>
      <c r="H167" s="224" t="s">
        <v>12</v>
      </c>
      <c r="I167" s="225">
        <v>1</v>
      </c>
      <c r="J167" s="226">
        <v>10</v>
      </c>
      <c r="K167" s="227">
        <v>1</v>
      </c>
      <c r="L167" s="228">
        <f>MROUND(PRODUCT($Q$7,K167)-'Calculadora RM'!$B$16,'Calculadora RM'!B13)</f>
        <v>40</v>
      </c>
      <c r="M167" s="135"/>
    </row>
    <row r="170" spans="2:29" ht="15.75" thickBot="1" x14ac:dyDescent="0.3"/>
    <row r="171" spans="2:29" x14ac:dyDescent="0.25">
      <c r="B171" s="311" t="s">
        <v>21</v>
      </c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2"/>
      <c r="Z171" s="312"/>
      <c r="AA171" s="312"/>
      <c r="AB171" s="312"/>
      <c r="AC171" s="325"/>
    </row>
    <row r="172" spans="2:29" x14ac:dyDescent="0.25">
      <c r="B172" s="309" t="s">
        <v>139</v>
      </c>
      <c r="C172" s="310"/>
      <c r="D172" s="310"/>
      <c r="E172" s="310"/>
      <c r="F172" s="310"/>
      <c r="G172" s="310"/>
      <c r="H172" s="310"/>
      <c r="I172" s="310"/>
      <c r="J172" s="310"/>
      <c r="K172" s="310"/>
      <c r="L172" s="310"/>
      <c r="M172" s="310"/>
      <c r="N172" s="310"/>
      <c r="O172" s="310"/>
      <c r="P172" s="310"/>
      <c r="Q172" s="310"/>
      <c r="R172" s="310"/>
      <c r="S172" s="310"/>
      <c r="T172" s="310"/>
      <c r="U172" s="310"/>
      <c r="V172" s="310"/>
      <c r="W172" s="310"/>
      <c r="X172" s="310"/>
      <c r="Y172" s="310"/>
      <c r="Z172" s="310"/>
      <c r="AA172" s="85"/>
      <c r="AB172" s="85"/>
      <c r="AC172" s="35"/>
    </row>
    <row r="173" spans="2:29" x14ac:dyDescent="0.25">
      <c r="B173" s="309" t="s">
        <v>61</v>
      </c>
      <c r="C173" s="310"/>
      <c r="D173" s="310"/>
      <c r="E173" s="310"/>
      <c r="F173" s="310"/>
      <c r="G173" s="310"/>
      <c r="H173" s="310"/>
      <c r="I173" s="310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310"/>
      <c r="Z173" s="310"/>
      <c r="AA173" s="85"/>
      <c r="AB173" s="85"/>
      <c r="AC173" s="35"/>
    </row>
    <row r="174" spans="2:29" ht="15.75" thickBot="1" x14ac:dyDescent="0.3">
      <c r="B174" s="307" t="s">
        <v>138</v>
      </c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84"/>
      <c r="AB174" s="84"/>
      <c r="AC174" s="36"/>
    </row>
    <row r="175" spans="2:29" x14ac:dyDescent="0.25">
      <c r="AC175" s="34"/>
    </row>
    <row r="176" spans="2:29" x14ac:dyDescent="0.25">
      <c r="AC176" s="34"/>
    </row>
    <row r="177" spans="2:29" ht="15.75" thickBot="1" x14ac:dyDescent="0.3">
      <c r="AC177" s="34"/>
    </row>
    <row r="178" spans="2:29" x14ac:dyDescent="0.25">
      <c r="B178" s="311" t="s">
        <v>20</v>
      </c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312"/>
      <c r="S178" s="312"/>
      <c r="T178" s="312"/>
      <c r="U178" s="312"/>
      <c r="V178" s="312"/>
      <c r="W178" s="312"/>
      <c r="X178" s="312"/>
      <c r="Y178" s="312"/>
      <c r="Z178" s="312"/>
      <c r="AA178" s="86"/>
      <c r="AB178" s="86"/>
      <c r="AC178" s="33"/>
    </row>
    <row r="179" spans="2:29" x14ac:dyDescent="0.25">
      <c r="B179" s="309" t="s">
        <v>60</v>
      </c>
      <c r="C179" s="363"/>
      <c r="D179" s="363"/>
      <c r="E179" s="363"/>
      <c r="F179" s="363"/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63"/>
      <c r="R179" s="363"/>
      <c r="S179" s="363"/>
      <c r="T179" s="363"/>
      <c r="U179" s="363"/>
      <c r="V179" s="363"/>
      <c r="W179" s="363"/>
      <c r="X179" s="363"/>
      <c r="Y179" s="363"/>
      <c r="Z179" s="363"/>
      <c r="AA179" s="85"/>
      <c r="AB179" s="85"/>
      <c r="AC179" s="35"/>
    </row>
    <row r="180" spans="2:29" x14ac:dyDescent="0.25">
      <c r="B180" s="313" t="s">
        <v>59</v>
      </c>
      <c r="C180" s="314"/>
      <c r="D180" s="314"/>
      <c r="E180" s="314"/>
      <c r="F180" s="314"/>
      <c r="G180" s="314"/>
      <c r="H180" s="314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  <c r="W180" s="314"/>
      <c r="X180" s="314"/>
      <c r="Y180" s="314"/>
      <c r="Z180" s="314"/>
      <c r="AA180" s="87"/>
      <c r="AB180" s="87"/>
      <c r="AC180" s="35"/>
    </row>
    <row r="181" spans="2:29" ht="15.75" thickBot="1" x14ac:dyDescent="0.3">
      <c r="B181" s="307" t="s">
        <v>140</v>
      </c>
      <c r="C181" s="308"/>
      <c r="D181" s="308"/>
      <c r="E181" s="308"/>
      <c r="F181" s="308"/>
      <c r="G181" s="308"/>
      <c r="H181" s="308"/>
      <c r="I181" s="308"/>
      <c r="J181" s="308"/>
      <c r="K181" s="308"/>
      <c r="L181" s="308"/>
      <c r="M181" s="308"/>
      <c r="N181" s="308"/>
      <c r="O181" s="308"/>
      <c r="P181" s="308"/>
      <c r="Q181" s="308"/>
      <c r="R181" s="308"/>
      <c r="S181" s="308"/>
      <c r="T181" s="308"/>
      <c r="U181" s="308"/>
      <c r="V181" s="308"/>
      <c r="W181" s="308"/>
      <c r="X181" s="308"/>
      <c r="Y181" s="308"/>
      <c r="Z181" s="308"/>
      <c r="AA181" s="84"/>
      <c r="AB181" s="84"/>
      <c r="AC181" s="36"/>
    </row>
  </sheetData>
  <sheetProtection algorithmName="SHA-512" hashValue="lg2rxTzXkyAO8y2M1QUaByex6yB7yJijkUGexDCannAFBADXlBW9+omoPuvsAlLruQ0O9YmqD9mceWvIej9uFA==" saltValue="09+FsmjIaiDL5b+bDcSt2A==" spinCount="100000" sheet="1" objects="1" scenarios="1"/>
  <mergeCells count="160">
    <mergeCell ref="J14:J15"/>
    <mergeCell ref="G14:I15"/>
    <mergeCell ref="F14:F15"/>
    <mergeCell ref="AA152:AA154"/>
    <mergeCell ref="AB152:AB154"/>
    <mergeCell ref="AA118:AA121"/>
    <mergeCell ref="AB118:AB121"/>
    <mergeCell ref="AA114:AA117"/>
    <mergeCell ref="AB114:AB117"/>
    <mergeCell ref="AA146:AA148"/>
    <mergeCell ref="AB144:AB145"/>
    <mergeCell ref="AB146:AB148"/>
    <mergeCell ref="AA149:AA151"/>
    <mergeCell ref="AB149:AB151"/>
    <mergeCell ref="AA138:AA141"/>
    <mergeCell ref="AB138:AB141"/>
    <mergeCell ref="AA142:AA143"/>
    <mergeCell ref="AB142:AB143"/>
    <mergeCell ref="AA144:AA145"/>
    <mergeCell ref="AA128:AA131"/>
    <mergeCell ref="AA79:AA82"/>
    <mergeCell ref="AB79:AB82"/>
    <mergeCell ref="AB132:AB134"/>
    <mergeCell ref="AA132:AA134"/>
    <mergeCell ref="AB107:AB109"/>
    <mergeCell ref="AA135:AA137"/>
    <mergeCell ref="AB135:AB137"/>
    <mergeCell ref="AB87:AB90"/>
    <mergeCell ref="AB128:AB131"/>
    <mergeCell ref="L14:L15"/>
    <mergeCell ref="K14:K15"/>
    <mergeCell ref="AA83:AA86"/>
    <mergeCell ref="AB83:AB86"/>
    <mergeCell ref="AA110:AA113"/>
    <mergeCell ref="AB110:AB113"/>
    <mergeCell ref="AA122:AA124"/>
    <mergeCell ref="AB122:AB124"/>
    <mergeCell ref="AA125:AA127"/>
    <mergeCell ref="AB125:AB127"/>
    <mergeCell ref="AA99:AA102"/>
    <mergeCell ref="AB99:AB102"/>
    <mergeCell ref="AA103:AA106"/>
    <mergeCell ref="AB103:AB106"/>
    <mergeCell ref="AA107:AA109"/>
    <mergeCell ref="AA91:AA94"/>
    <mergeCell ref="AB91:AB94"/>
    <mergeCell ref="AA95:AA98"/>
    <mergeCell ref="AB95:AB98"/>
    <mergeCell ref="AA87:AA90"/>
    <mergeCell ref="AA67:AA70"/>
    <mergeCell ref="AB67:AB70"/>
    <mergeCell ref="AA71:AA74"/>
    <mergeCell ref="AB71:AB74"/>
    <mergeCell ref="AA75:AA78"/>
    <mergeCell ref="AB75:AB78"/>
    <mergeCell ref="AA47:AA50"/>
    <mergeCell ref="AB47:AB50"/>
    <mergeCell ref="AA59:AA62"/>
    <mergeCell ref="AB59:AB62"/>
    <mergeCell ref="AA63:AA66"/>
    <mergeCell ref="AB63:AB66"/>
    <mergeCell ref="AA51:AA54"/>
    <mergeCell ref="AB51:AB54"/>
    <mergeCell ref="AA55:AA58"/>
    <mergeCell ref="AB55:AB58"/>
    <mergeCell ref="AB35:AB38"/>
    <mergeCell ref="AA39:AA42"/>
    <mergeCell ref="AB39:AB42"/>
    <mergeCell ref="AA43:AA46"/>
    <mergeCell ref="AB43:AB46"/>
    <mergeCell ref="G6:N6"/>
    <mergeCell ref="B158:C167"/>
    <mergeCell ref="E164:E167"/>
    <mergeCell ref="D158:D167"/>
    <mergeCell ref="D122:D131"/>
    <mergeCell ref="E158:E160"/>
    <mergeCell ref="E161:E163"/>
    <mergeCell ref="E149:E151"/>
    <mergeCell ref="E142:E143"/>
    <mergeCell ref="E144:E145"/>
    <mergeCell ref="E146:E148"/>
    <mergeCell ref="E87:E90"/>
    <mergeCell ref="E91:E94"/>
    <mergeCell ref="E95:E98"/>
    <mergeCell ref="E99:E102"/>
    <mergeCell ref="E138:E141"/>
    <mergeCell ref="E125:E127"/>
    <mergeCell ref="E128:E131"/>
    <mergeCell ref="E132:E134"/>
    <mergeCell ref="B171:AC171"/>
    <mergeCell ref="AA16:AA19"/>
    <mergeCell ref="AB16:AB19"/>
    <mergeCell ref="AA20:AA22"/>
    <mergeCell ref="AB20:AB22"/>
    <mergeCell ref="AA23:AA26"/>
    <mergeCell ref="AB23:AB26"/>
    <mergeCell ref="AA27:AA30"/>
    <mergeCell ref="AB27:AB30"/>
    <mergeCell ref="AA31:AA34"/>
    <mergeCell ref="AB31:AB34"/>
    <mergeCell ref="AA35:AA38"/>
    <mergeCell ref="B16:C58"/>
    <mergeCell ref="D51:D58"/>
    <mergeCell ref="E110:E113"/>
    <mergeCell ref="E114:E117"/>
    <mergeCell ref="E83:E86"/>
    <mergeCell ref="E103:E106"/>
    <mergeCell ref="E67:E70"/>
    <mergeCell ref="E71:E74"/>
    <mergeCell ref="E75:E78"/>
    <mergeCell ref="E79:E82"/>
    <mergeCell ref="E51:E54"/>
    <mergeCell ref="E55:E58"/>
    <mergeCell ref="E59:E62"/>
    <mergeCell ref="B179:Z179"/>
    <mergeCell ref="B178:Z178"/>
    <mergeCell ref="B180:Z180"/>
    <mergeCell ref="B181:Z181"/>
    <mergeCell ref="D142:D148"/>
    <mergeCell ref="D149:D154"/>
    <mergeCell ref="D132:D141"/>
    <mergeCell ref="B172:Z172"/>
    <mergeCell ref="B173:Z173"/>
    <mergeCell ref="B174:Z174"/>
    <mergeCell ref="E152:E154"/>
    <mergeCell ref="B122:C154"/>
    <mergeCell ref="D83:D90"/>
    <mergeCell ref="B59:C90"/>
    <mergeCell ref="D91:D102"/>
    <mergeCell ref="D103:D113"/>
    <mergeCell ref="B91:C121"/>
    <mergeCell ref="D114:D121"/>
    <mergeCell ref="D59:D70"/>
    <mergeCell ref="D71:D82"/>
    <mergeCell ref="E63:E66"/>
    <mergeCell ref="E107:E109"/>
    <mergeCell ref="E135:E137"/>
    <mergeCell ref="E118:E121"/>
    <mergeCell ref="E122:E124"/>
    <mergeCell ref="Q15:U15"/>
    <mergeCell ref="V15:Z15"/>
    <mergeCell ref="P2:Q2"/>
    <mergeCell ref="D16:D26"/>
    <mergeCell ref="D39:D50"/>
    <mergeCell ref="G2:N3"/>
    <mergeCell ref="M14:O14"/>
    <mergeCell ref="D27:D38"/>
    <mergeCell ref="G4:N4"/>
    <mergeCell ref="E16:E19"/>
    <mergeCell ref="E20:E22"/>
    <mergeCell ref="E23:E26"/>
    <mergeCell ref="E27:E30"/>
    <mergeCell ref="E31:E34"/>
    <mergeCell ref="E35:E38"/>
    <mergeCell ref="E39:E42"/>
    <mergeCell ref="G5:N5"/>
    <mergeCell ref="P11:Q11"/>
    <mergeCell ref="P14:AC14"/>
    <mergeCell ref="E43:E46"/>
    <mergeCell ref="E47:E50"/>
  </mergeCells>
  <conditionalFormatting sqref="AA16:AA154">
    <cfRule type="colorScale" priority="3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AB16:AB154">
    <cfRule type="colorScale" priority="1">
      <colorScale>
        <cfvo type="num" val="1"/>
        <cfvo type="num" val="5"/>
        <cfvo type="num" val="10"/>
        <color rgb="FF63BE7B"/>
        <color rgb="FFFFEB84"/>
        <color rgb="FFF8696B"/>
      </colorScale>
    </cfRule>
  </conditionalFormatting>
  <dataValidations count="1">
    <dataValidation type="whole" allowBlank="1" showInputMessage="1" showErrorMessage="1" error="Elige un número del 1 al 10 sin decimales." sqref="AA16:AB154" xr:uid="{06EDC28F-FD7F-4825-918A-5D1D60534FC5}">
      <formula1>1</formula1>
      <formula2>10</formula2>
    </dataValidation>
  </dataValidations>
  <hyperlinks>
    <hyperlink ref="P11:Q11" location="'Calculadora RM'!A1" display="Ir a Calculadora 1RM" xr:uid="{00000000-0004-0000-0200-000000000000}"/>
  </hyperlinks>
  <pageMargins left="0.7" right="0.7" top="0.75" bottom="0.75" header="0.3" footer="0.3"/>
  <pageSetup paperSize="9" scale="44" fitToHeight="0" orientation="portrait" r:id="rId1"/>
  <ignoredErrors>
    <ignoredError sqref="K20 F112 K152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Ejercicios!$A$1:$A$30</xm:f>
          </x14:formula1>
          <xm:sqref>F16</xm:sqref>
        </x14:dataValidation>
        <x14:dataValidation type="list" allowBlank="1" showInputMessage="1" showErrorMessage="1" xr:uid="{00000000-0002-0000-0200-000001000000}">
          <x14:formula1>
            <xm:f>Ejercicios!$C$1:$C$30</xm:f>
          </x14:formula1>
          <xm:sqref>F17</xm:sqref>
        </x14:dataValidation>
        <x14:dataValidation type="list" allowBlank="1" showInputMessage="1" showErrorMessage="1" xr:uid="{00000000-0002-0000-0200-000002000000}">
          <x14:formula1>
            <xm:f>Ejercicios!$D$1:$D$30</xm:f>
          </x14:formula1>
          <xm:sqref>F18 F25</xm:sqref>
        </x14:dataValidation>
        <x14:dataValidation type="list" allowBlank="1" showInputMessage="1" showErrorMessage="1" xr:uid="{00000000-0002-0000-0200-000003000000}">
          <x14:formula1>
            <xm:f>Ejercicios!$B$1:$B$30</xm:f>
          </x14:formula1>
          <xm:sqref>F19:F20</xm:sqref>
        </x14:dataValidation>
        <x14:dataValidation type="list" allowBlank="1" showInputMessage="1" showErrorMessage="1" xr:uid="{00000000-0002-0000-0200-000005000000}">
          <x14:formula1>
            <xm:f>Ejercicios!$E$1:$E$30</xm:f>
          </x14:formula1>
          <xm:sqref>F21</xm:sqref>
        </x14:dataValidation>
        <x14:dataValidation type="list" allowBlank="1" showInputMessage="1" showErrorMessage="1" xr:uid="{00000000-0002-0000-0200-000006000000}">
          <x14:formula1>
            <xm:f>Ejercicios!$F$1:$F$30</xm:f>
          </x14:formula1>
          <xm:sqref>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39997558519241921"/>
  </sheetPr>
  <dimension ref="A1"/>
  <sheetViews>
    <sheetView showGridLines="0" workbookViewId="0">
      <selection activeCell="G57" sqref="G57"/>
    </sheetView>
  </sheetViews>
  <sheetFormatPr baseColWidth="10" defaultRowHeight="15" x14ac:dyDescent="0.25"/>
  <sheetData/>
  <sheetProtection algorithmName="SHA-512" hashValue="Hp4MgRChRMMSvCeQ7TEKmkct7H3FNkli9WMYI0EXiQSvRdaj6X+KhIHb3xQrQQyHlJbPszQ635ccXU8kqDIZEg==" saltValue="Ld0OL86i6TAOxCiA5/mec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9EB2-2E61-4416-93FC-E71A48BB19E6}">
  <sheetPr codeName="Hoja6">
    <tabColor theme="7" tint="0.59999389629810485"/>
  </sheetPr>
  <dimension ref="A1"/>
  <sheetViews>
    <sheetView showGridLines="0" workbookViewId="0">
      <selection activeCell="O74" sqref="O74"/>
    </sheetView>
  </sheetViews>
  <sheetFormatPr baseColWidth="10" defaultRowHeight="15" x14ac:dyDescent="0.25"/>
  <sheetData/>
  <sheetProtection algorithmName="SHA-512" hashValue="U9GxN+UGdZMa3kUpTAlByUoxGgjmKvGSetCGTFwJgmxwgsy7Q4pXwRVtQvupm6oEhZkOX7pK28lJAdwX4I5vdQ==" saltValue="GWLBIWzpceqXCIfEqAnH4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0" tint="-0.34998626667073579"/>
  </sheetPr>
  <dimension ref="A1:F33"/>
  <sheetViews>
    <sheetView showGridLines="0" workbookViewId="0">
      <selection activeCell="H28" sqref="H28"/>
    </sheetView>
  </sheetViews>
  <sheetFormatPr baseColWidth="10" defaultRowHeight="15" x14ac:dyDescent="0.25"/>
  <cols>
    <col min="1" max="1" width="23.28515625" customWidth="1"/>
    <col min="2" max="2" width="27.28515625" bestFit="1" customWidth="1"/>
    <col min="3" max="3" width="28" customWidth="1"/>
    <col min="4" max="4" width="23.85546875" bestFit="1" customWidth="1"/>
    <col min="5" max="5" width="28" customWidth="1"/>
    <col min="6" max="6" width="22.140625" bestFit="1" customWidth="1"/>
  </cols>
  <sheetData>
    <row r="1" spans="1:6" ht="15.75" thickBot="1" x14ac:dyDescent="0.3">
      <c r="A1" s="49" t="s">
        <v>5</v>
      </c>
      <c r="B1" s="49" t="s">
        <v>8</v>
      </c>
      <c r="C1" s="49" t="s">
        <v>9</v>
      </c>
      <c r="D1" s="49" t="s">
        <v>62</v>
      </c>
      <c r="E1" s="49" t="s">
        <v>16</v>
      </c>
      <c r="F1" s="49" t="s">
        <v>10</v>
      </c>
    </row>
    <row r="2" spans="1:6" x14ac:dyDescent="0.25">
      <c r="A2" s="242" t="s">
        <v>67</v>
      </c>
      <c r="B2" s="242" t="s">
        <v>46</v>
      </c>
      <c r="C2" s="22" t="s">
        <v>73</v>
      </c>
      <c r="D2" s="22" t="s">
        <v>89</v>
      </c>
      <c r="E2" s="22" t="s">
        <v>88</v>
      </c>
      <c r="F2" s="22" t="s">
        <v>93</v>
      </c>
    </row>
    <row r="3" spans="1:6" x14ac:dyDescent="0.25">
      <c r="A3" s="23" t="s">
        <v>41</v>
      </c>
      <c r="B3" s="23" t="s">
        <v>87</v>
      </c>
      <c r="C3" s="23" t="s">
        <v>83</v>
      </c>
      <c r="D3" s="23" t="s">
        <v>85</v>
      </c>
      <c r="E3" s="23" t="s">
        <v>54</v>
      </c>
      <c r="F3" s="23" t="s">
        <v>92</v>
      </c>
    </row>
    <row r="4" spans="1:6" x14ac:dyDescent="0.25">
      <c r="A4" s="23" t="s">
        <v>42</v>
      </c>
      <c r="B4" s="23" t="s">
        <v>76</v>
      </c>
      <c r="C4" s="23" t="s">
        <v>72</v>
      </c>
      <c r="D4" s="23" t="s">
        <v>90</v>
      </c>
      <c r="E4" s="243"/>
      <c r="F4" s="23" t="s">
        <v>55</v>
      </c>
    </row>
    <row r="5" spans="1:6" x14ac:dyDescent="0.25">
      <c r="A5" s="23" t="s">
        <v>82</v>
      </c>
      <c r="B5" s="23" t="s">
        <v>44</v>
      </c>
      <c r="C5" s="23" t="s">
        <v>70</v>
      </c>
      <c r="D5" s="23" t="s">
        <v>34</v>
      </c>
      <c r="E5" s="243"/>
      <c r="F5" s="23" t="s">
        <v>57</v>
      </c>
    </row>
    <row r="6" spans="1:6" x14ac:dyDescent="0.25">
      <c r="A6" s="23" t="s">
        <v>69</v>
      </c>
      <c r="B6" s="23" t="s">
        <v>77</v>
      </c>
      <c r="C6" s="23" t="s">
        <v>71</v>
      </c>
      <c r="D6" s="243" t="s">
        <v>136</v>
      </c>
      <c r="E6" s="243"/>
      <c r="F6" s="23" t="s">
        <v>56</v>
      </c>
    </row>
    <row r="7" spans="1:6" x14ac:dyDescent="0.25">
      <c r="A7" s="23" t="s">
        <v>78</v>
      </c>
      <c r="B7" s="23" t="s">
        <v>86</v>
      </c>
      <c r="C7" s="23" t="s">
        <v>74</v>
      </c>
      <c r="D7" s="243"/>
      <c r="E7" s="243"/>
      <c r="F7" s="243"/>
    </row>
    <row r="8" spans="1:6" x14ac:dyDescent="0.25">
      <c r="A8" s="23" t="s">
        <v>68</v>
      </c>
      <c r="B8" s="23" t="s">
        <v>48</v>
      </c>
      <c r="C8" s="23" t="s">
        <v>63</v>
      </c>
      <c r="D8" s="243"/>
      <c r="E8" s="243"/>
      <c r="F8" s="243"/>
    </row>
    <row r="9" spans="1:6" x14ac:dyDescent="0.25">
      <c r="A9" s="23" t="s">
        <v>43</v>
      </c>
      <c r="B9" s="23" t="s">
        <v>47</v>
      </c>
      <c r="C9" s="23" t="s">
        <v>53</v>
      </c>
      <c r="D9" s="243"/>
      <c r="E9" s="243"/>
      <c r="F9" s="243"/>
    </row>
    <row r="10" spans="1:6" x14ac:dyDescent="0.25">
      <c r="A10" s="23" t="s">
        <v>65</v>
      </c>
      <c r="B10" s="23" t="s">
        <v>75</v>
      </c>
      <c r="C10" s="23" t="s">
        <v>52</v>
      </c>
      <c r="D10" s="243"/>
      <c r="E10" s="243"/>
      <c r="F10" s="243"/>
    </row>
    <row r="11" spans="1:6" x14ac:dyDescent="0.25">
      <c r="A11" s="23" t="s">
        <v>80</v>
      </c>
      <c r="B11" s="23" t="s">
        <v>45</v>
      </c>
      <c r="C11" s="23" t="s">
        <v>66</v>
      </c>
      <c r="D11" s="243"/>
      <c r="E11" s="243"/>
      <c r="F11" s="243"/>
    </row>
    <row r="12" spans="1:6" x14ac:dyDescent="0.25">
      <c r="A12" s="23" t="s">
        <v>51</v>
      </c>
      <c r="B12" s="23" t="s">
        <v>49</v>
      </c>
      <c r="C12" s="23" t="s">
        <v>64</v>
      </c>
      <c r="D12" s="243"/>
      <c r="E12" s="243"/>
      <c r="F12" s="243"/>
    </row>
    <row r="13" spans="1:6" x14ac:dyDescent="0.25">
      <c r="A13" s="23" t="s">
        <v>79</v>
      </c>
      <c r="B13" s="243" t="s">
        <v>18</v>
      </c>
      <c r="C13" s="23" t="s">
        <v>84</v>
      </c>
      <c r="D13" s="243"/>
      <c r="E13" s="243"/>
      <c r="F13" s="243"/>
    </row>
    <row r="14" spans="1:6" x14ac:dyDescent="0.25">
      <c r="A14" s="23" t="s">
        <v>50</v>
      </c>
      <c r="B14" s="243"/>
      <c r="C14" s="243"/>
      <c r="D14" s="243"/>
      <c r="E14" s="243"/>
      <c r="F14" s="243"/>
    </row>
    <row r="15" spans="1:6" x14ac:dyDescent="0.25">
      <c r="A15" s="23" t="s">
        <v>81</v>
      </c>
      <c r="B15" s="243"/>
      <c r="C15" s="243"/>
      <c r="D15" s="243"/>
      <c r="E15" s="243"/>
      <c r="F15" s="243"/>
    </row>
    <row r="16" spans="1:6" x14ac:dyDescent="0.25">
      <c r="A16" s="243" t="s">
        <v>134</v>
      </c>
      <c r="B16" s="243"/>
      <c r="C16" s="243"/>
      <c r="D16" s="243"/>
      <c r="E16" s="243"/>
      <c r="F16" s="243"/>
    </row>
    <row r="17" spans="1:6" x14ac:dyDescent="0.25">
      <c r="A17" s="243"/>
      <c r="B17" s="243"/>
      <c r="C17" s="243"/>
      <c r="D17" s="243"/>
      <c r="E17" s="243"/>
      <c r="F17" s="243"/>
    </row>
    <row r="18" spans="1:6" x14ac:dyDescent="0.25">
      <c r="A18" s="243"/>
      <c r="B18" s="243"/>
      <c r="C18" s="243"/>
      <c r="D18" s="243"/>
      <c r="E18" s="243"/>
      <c r="F18" s="243"/>
    </row>
    <row r="19" spans="1:6" x14ac:dyDescent="0.25">
      <c r="A19" s="243"/>
      <c r="B19" s="243"/>
      <c r="C19" s="243"/>
      <c r="D19" s="243"/>
      <c r="E19" s="243"/>
      <c r="F19" s="243"/>
    </row>
    <row r="20" spans="1:6" x14ac:dyDescent="0.25">
      <c r="A20" s="243"/>
      <c r="B20" s="243"/>
      <c r="C20" s="243"/>
      <c r="D20" s="243"/>
      <c r="E20" s="243"/>
      <c r="F20" s="243"/>
    </row>
    <row r="21" spans="1:6" x14ac:dyDescent="0.25">
      <c r="A21" s="243"/>
      <c r="B21" s="243"/>
      <c r="C21" s="243"/>
      <c r="D21" s="243"/>
      <c r="E21" s="243"/>
      <c r="F21" s="243"/>
    </row>
    <row r="22" spans="1:6" x14ac:dyDescent="0.25">
      <c r="A22" s="243"/>
      <c r="B22" s="243"/>
      <c r="C22" s="243"/>
      <c r="D22" s="243"/>
      <c r="E22" s="243"/>
      <c r="F22" s="243"/>
    </row>
    <row r="23" spans="1:6" x14ac:dyDescent="0.25">
      <c r="A23" s="243"/>
      <c r="B23" s="243"/>
      <c r="C23" s="243"/>
      <c r="D23" s="243"/>
      <c r="E23" s="243"/>
      <c r="F23" s="243"/>
    </row>
    <row r="24" spans="1:6" x14ac:dyDescent="0.25">
      <c r="A24" s="243"/>
      <c r="B24" s="243"/>
      <c r="C24" s="243"/>
      <c r="D24" s="243"/>
      <c r="E24" s="243"/>
      <c r="F24" s="243"/>
    </row>
    <row r="25" spans="1:6" x14ac:dyDescent="0.25">
      <c r="A25" s="243"/>
      <c r="B25" s="243"/>
      <c r="C25" s="243"/>
      <c r="D25" s="243"/>
      <c r="E25" s="243"/>
      <c r="F25" s="243"/>
    </row>
    <row r="26" spans="1:6" x14ac:dyDescent="0.25">
      <c r="A26" s="243"/>
      <c r="B26" s="243"/>
      <c r="C26" s="243"/>
      <c r="D26" s="243"/>
      <c r="E26" s="243"/>
      <c r="F26" s="243"/>
    </row>
    <row r="27" spans="1:6" x14ac:dyDescent="0.25">
      <c r="A27" s="243"/>
      <c r="B27" s="243"/>
      <c r="C27" s="243"/>
      <c r="D27" s="243"/>
      <c r="E27" s="243"/>
      <c r="F27" s="243"/>
    </row>
    <row r="28" spans="1:6" x14ac:dyDescent="0.25">
      <c r="A28" s="243"/>
      <c r="B28" s="243"/>
      <c r="C28" s="243"/>
      <c r="D28" s="243"/>
      <c r="E28" s="243"/>
      <c r="F28" s="243"/>
    </row>
    <row r="29" spans="1:6" x14ac:dyDescent="0.25">
      <c r="A29" s="243"/>
      <c r="B29" s="243"/>
      <c r="C29" s="243"/>
      <c r="D29" s="243"/>
      <c r="E29" s="243"/>
      <c r="F29" s="243"/>
    </row>
    <row r="30" spans="1:6" ht="15.75" thickBot="1" x14ac:dyDescent="0.3">
      <c r="A30" s="244"/>
      <c r="B30" s="244"/>
      <c r="C30" s="244"/>
      <c r="D30" s="244"/>
      <c r="E30" s="244"/>
      <c r="F30" s="244"/>
    </row>
    <row r="31" spans="1:6" x14ac:dyDescent="0.25">
      <c r="A31" s="50"/>
    </row>
    <row r="32" spans="1:6" x14ac:dyDescent="0.25">
      <c r="A32" s="50"/>
    </row>
    <row r="33" spans="1:5" ht="15.75" thickBot="1" x14ac:dyDescent="0.3">
      <c r="A33" s="51"/>
      <c r="B33" s="52"/>
      <c r="C33" s="52"/>
      <c r="D33" s="52"/>
      <c r="E33" s="52"/>
    </row>
  </sheetData>
  <sheetProtection algorithmName="SHA-512" hashValue="9vRpX3FZyDSDhSe4x3gGuipbc60Mkl1xzP8uG01k+p4M19D0w5eKupQm7DkfENXZEJ2YP6f7CxO0OnaRu+KjJA==" saltValue="hKq9R00voevkIeer/YHfNg==" spinCount="100000" sheet="1" objects="1" scenarios="1"/>
  <sortState xmlns:xlrd2="http://schemas.microsoft.com/office/spreadsheetml/2017/richdata2" ref="F2:F6">
    <sortCondition ref="F1"/>
  </sortState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Introducción</vt:lpstr>
      <vt:lpstr>Calculadora RM</vt:lpstr>
      <vt:lpstr>PROGRAMA</vt:lpstr>
      <vt:lpstr>Evolución volumen-intesidad</vt:lpstr>
      <vt:lpstr>PRS-sRPE</vt:lpstr>
      <vt:lpstr>Ejercicios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Pablo Mendaña</dc:creator>
  <cp:lastModifiedBy>J Pablo Mendaña</cp:lastModifiedBy>
  <cp:lastPrinted>2022-11-11T01:35:33Z</cp:lastPrinted>
  <dcterms:created xsi:type="dcterms:W3CDTF">2022-11-07T09:41:25Z</dcterms:created>
  <dcterms:modified xsi:type="dcterms:W3CDTF">2024-06-02T18:45:04Z</dcterms:modified>
  <cp:contentStatus/>
</cp:coreProperties>
</file>